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4895" windowHeight="12090" tabRatio="865" activeTab="1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</externalReferences>
  <definedNames>
    <definedName name="_xlnm.Print_Area" localSheetId="0">'Percentuais'!$1:$51</definedName>
    <definedName name="_xlnm.Print_Area" localSheetId="1">'Resumo'!$A$1:$I$170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1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2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9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41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41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41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41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41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41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41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41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41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41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41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82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82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82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82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82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82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82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82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82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82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82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82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82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82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82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82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123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123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123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123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123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123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123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123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123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123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123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123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123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123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123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123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<sst xmlns="http://schemas.openxmlformats.org/spreadsheetml/2006/main" count="1796" uniqueCount="317">
  <si>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</si>
  <si>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</si>
  <si>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</si>
  <si>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</si>
  <si>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</si>
  <si>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</si>
  <si>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</si>
  <si>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</si>
  <si>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</si>
  <si>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</si>
  <si>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</si>
  <si>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</si>
  <si>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</si>
  <si>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</si>
  <si>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</si>
  <si>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</si>
  <si>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</si>
  <si>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</si>
  <si>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</si>
  <si>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</si>
  <si>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</si>
  <si>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</si>
  <si>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</si>
  <si>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</si>
  <si>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</si>
  <si>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</si>
  <si>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</si>
  <si>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</si>
  <si>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</si>
  <si>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</si>
  <si>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</si>
  <si>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</si>
  <si>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</si>
  <si>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</si>
  <si>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</si>
  <si>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</si>
  <si>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</si>
  <si>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</si>
  <si>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</si>
  <si>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</si>
  <si>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</si>
  <si>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</si>
  <si>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</si>
  <si>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</si>
  <si>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</si>
  <si>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</si>
  <si>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</si>
  <si>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</si>
  <si>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</si>
  <si>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</si>
  <si>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</si>
  <si>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</si>
  <si>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</si>
  <si>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</si>
  <si>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</si>
  <si>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</si>
  <si>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</si>
  <si>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</si>
  <si>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externos à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</si>
  <si>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</si>
  <si>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</si>
  <si>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</si>
  <si>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</si>
  <si>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</si>
  <si>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</si>
  <si>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</si>
  <si>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</si>
  <si>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</si>
  <si>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</si>
  <si>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</si>
  <si>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</si>
  <si>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</si>
  <si>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</si>
  <si>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</si>
  <si>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</si>
  <si>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</si>
  <si>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</si>
  <si>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</si>
  <si>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</si>
  <si>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</si>
  <si>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</si>
  <si>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</si>
  <si>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</si>
  <si>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</si>
  <si>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</si>
  <si>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</si>
  <si>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</si>
  <si>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</si>
  <si>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</si>
  <si>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</si>
  <si>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</si>
  <si>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</si>
  <si>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</si>
  <si>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</si>
  <si>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</si>
  <si>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</si>
  <si>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</si>
  <si>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</si>
  <si>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</si>
  <si>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</si>
  <si>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</si>
  <si>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</si>
  <si>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</si>
  <si>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</si>
  <si>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</si>
  <si>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</si>
  <si>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</si>
  <si>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</si>
  <si>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</si>
  <si>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</si>
  <si>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</si>
  <si>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</si>
  <si>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</si>
  <si>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</si>
  <si>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</si>
  <si>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</si>
  <si>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</si>
  <si>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</si>
  <si>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</si>
  <si>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</si>
  <si>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</si>
  <si>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</si>
  <si>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</si>
  <si>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</si>
  <si>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</si>
  <si>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</si>
  <si>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</si>
  <si>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</si>
  <si>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</si>
  <si>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</si>
  <si>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</si>
  <si>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</si>
  <si>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</si>
  <si>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</si>
  <si>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</si>
  <si>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</si>
  <si>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</si>
  <si>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</si>
  <si>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</si>
  <si>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</si>
  <si>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</si>
  <si>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</si>
  <si>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</si>
  <si>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</si>
  <si>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>Iniciação Científica</t>
  </si>
  <si>
    <t>Extensão</t>
  </si>
  <si>
    <t>Outras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</si>
  <si>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</si>
  <si>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</si>
  <si>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</si>
  <si>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</si>
  <si>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</si>
  <si>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</si>
  <si>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</si>
  <si>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</si>
  <si>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</si>
  <si>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</si>
  <si>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</si>
  <si>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</si>
  <si>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</si>
  <si>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</si>
  <si>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</si>
  <si>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</si>
  <si>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</si>
  <si>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</si>
  <si>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</si>
  <si>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</si>
  <si>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</si>
  <si>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</si>
  <si>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</si>
  <si>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</si>
  <si>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</si>
  <si>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</si>
  <si>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</si>
  <si>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</si>
  <si>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</si>
  <si>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</si>
  <si>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</si>
  <si>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</si>
  <si>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</si>
  <si>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</si>
  <si>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</si>
  <si>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</si>
  <si>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</si>
  <si>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</si>
  <si>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</si>
  <si>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</si>
  <si>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</si>
  <si>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</si>
  <si>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</si>
  <si>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</si>
  <si>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</si>
  <si>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</si>
  <si>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</si>
  <si>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</si>
  <si>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</si>
  <si>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</si>
  <si>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</si>
  <si>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</si>
  <si>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</si>
  <si>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</si>
  <si>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</si>
  <si>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</si>
  <si>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</si>
  <si>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</si>
  <si>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</si>
  <si>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</si>
  <si>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</si>
  <si>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</si>
  <si>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</si>
  <si>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</si>
  <si>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</si>
  <si>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</si>
  <si>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</si>
  <si>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</si>
  <si>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</si>
  <si>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</si>
  <si>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</si>
  <si>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</si>
  <si>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</si>
  <si>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</si>
  <si>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</si>
  <si>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</si>
  <si>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</si>
  <si>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</si>
  <si>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</si>
  <si>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</si>
  <si>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</si>
  <si>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</si>
  <si>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</si>
  <si>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</si>
  <si>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</si>
  <si>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</si>
  <si>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</si>
  <si>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</si>
  <si>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</si>
  <si>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</si>
  <si>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</si>
  <si>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</si>
  <si>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</si>
  <si>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</si>
  <si>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</si>
  <si>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</si>
  <si>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</si>
  <si>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</si>
  <si>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</si>
  <si>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</si>
  <si>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</si>
  <si>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</si>
  <si>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</si>
  <si>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</si>
  <si>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</si>
  <si>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</si>
  <si>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</si>
  <si>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</si>
  <si>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</si>
  <si>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</si>
  <si>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</si>
  <si>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</si>
  <si>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</si>
  <si>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</si>
  <si>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</si>
  <si>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</si>
  <si>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</si>
  <si>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</si>
  <si>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</si>
  <si>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</si>
  <si>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</si>
  <si>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</si>
  <si>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</si>
  <si>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</si>
  <si>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</si>
  <si>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</si>
  <si>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</si>
  <si>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</si>
  <si>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</si>
  <si>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</si>
  <si>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</si>
  <si>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</si>
  <si>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</si>
  <si>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</si>
  <si>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</si>
  <si>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C2 - RECURSOS CAPTADOS POR PROJETOS DE PESQUISA</t>
  </si>
  <si>
    <t>Total de recursos aprovados</t>
  </si>
  <si>
    <t>Total de recursos utilizados no período</t>
  </si>
  <si>
    <t>Total de recursos remanescentes daqueles desembolsados</t>
  </si>
  <si>
    <t>D2 - RECURSOS CAPTADOS POR PROJETOS DE EXTENSÃO</t>
  </si>
  <si>
    <t>Total de recursos desembolsados pelas agências de fomento</t>
  </si>
  <si>
    <t>PROLICEN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</si>
  <si>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</si>
  <si>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</si>
  <si>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</si>
  <si>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</si>
  <si>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</si>
  <si>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</si>
  <si>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</si>
  <si>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Dissertações defendidas sob orientação de docentes da Unidade Acadêmica</t>
  </si>
  <si>
    <t xml:space="preserve">Distribuição Percentual das Atividades Docentes da Unidade Acadêmica </t>
  </si>
  <si>
    <t>Não Houve</t>
  </si>
  <si>
    <t>AFC: Afastamento Capacitação,</t>
  </si>
  <si>
    <t>OAF: Outros Afastamentos,</t>
  </si>
  <si>
    <t>SAG: Aulas na Graduação,</t>
  </si>
  <si>
    <t>SAPG: Aulas  Pós-Graduação,</t>
  </si>
  <si>
    <t>ORGR: Orientação Graduação,</t>
  </si>
  <si>
    <t>ORPG: Orientação Pós-Graduação,</t>
  </si>
  <si>
    <t>PQ: Pesquisa,</t>
  </si>
  <si>
    <t>ACE: Carga Acessória (Atdimento, correção de provas, etc...</t>
  </si>
  <si>
    <t>EXT: Extensão,</t>
  </si>
  <si>
    <t>AAA: Atividades de Apoio Acadêmico,</t>
  </si>
  <si>
    <t>PBCE: Bancas e Comissões Examinadoras,</t>
  </si>
  <si>
    <t>CD: CDS e FGs,</t>
  </si>
  <si>
    <t>ADM: Atividades Admistrativas,</t>
  </si>
  <si>
    <t>ARP: Atividades de Representação,</t>
  </si>
  <si>
    <t>OAT: Outras Atividades Acadêmicas.</t>
  </si>
  <si>
    <t>QSA: Qualificação Sem Afastamento,</t>
  </si>
  <si>
    <t>Carga Horária Semestral Letiva Disponível (CHSLD)</t>
  </si>
  <si>
    <t>No. de horas acessórias (atendimento, preparação de aulas, avaliação, etc.) (NAG)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</si>
</sst>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sz val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82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3" xfId="0" applyNumberForma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00" fontId="5" fillId="0" borderId="2" xfId="0" applyNumberFormat="1" applyFont="1" applyBorder="1" applyAlignment="1" applyProtection="1">
      <alignment horizontal="center"/>
      <protection locked="0"/>
    </xf>
    <xf numFmtId="182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18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82" fontId="4" fillId="0" borderId="2" xfId="0" applyNumberFormat="1" applyFont="1" applyBorder="1" applyAlignment="1" applyProtection="1">
      <alignment horizontal="left"/>
      <protection locked="0"/>
    </xf>
    <xf numFmtId="166" fontId="4" fillId="0" borderId="2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182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0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182" fontId="4" fillId="0" borderId="20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10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13" xfId="0" applyNumberFormat="1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/>
      <protection/>
    </xf>
    <xf numFmtId="1" fontId="0" fillId="2" borderId="17" xfId="0" applyNumberForma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10" fontId="0" fillId="2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2" borderId="15" xfId="0" applyNumberForma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4" xfId="0" applyFont="1" applyFill="1" applyBorder="1" applyAlignment="1" applyProtection="1">
      <alignment horizontal="center"/>
      <protection/>
    </xf>
    <xf numFmtId="182" fontId="4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82" fontId="4" fillId="0" borderId="2" xfId="0" applyNumberFormat="1" applyFont="1" applyBorder="1" applyAlignment="1">
      <alignment horizontal="left"/>
    </xf>
    <xf numFmtId="0" fontId="6" fillId="2" borderId="0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center"/>
      <protection locked="0"/>
    </xf>
    <xf numFmtId="182" fontId="4" fillId="0" borderId="2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 applyProtection="1">
      <alignment/>
      <protection hidden="1"/>
    </xf>
    <xf numFmtId="0" fontId="0" fillId="2" borderId="1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2" borderId="11" xfId="0" applyFont="1" applyFill="1" applyBorder="1" applyAlignment="1" applyProtection="1">
      <alignment horizontal="left" vertical="top" wrapText="1"/>
      <protection/>
    </xf>
    <xf numFmtId="0" fontId="0" fillId="2" borderId="2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98" fontId="6" fillId="2" borderId="28" xfId="0" applyNumberFormat="1" applyFont="1" applyFill="1" applyBorder="1" applyAlignment="1" applyProtection="1">
      <alignment horizontal="center"/>
      <protection/>
    </xf>
    <xf numFmtId="198" fontId="6" fillId="2" borderId="29" xfId="0" applyNumberFormat="1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 horizontal="center" vertic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5" fillId="2" borderId="3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198" fontId="0" fillId="0" borderId="18" xfId="0" applyNumberFormat="1" applyBorder="1" applyAlignment="1" applyProtection="1">
      <alignment horizontal="center" vertical="center"/>
      <protection/>
    </xf>
    <xf numFmtId="198" fontId="0" fillId="0" borderId="2" xfId="0" applyNumberFormat="1" applyBorder="1" applyAlignment="1" applyProtection="1">
      <alignment horizontal="center" vertical="center"/>
      <protection/>
    </xf>
    <xf numFmtId="198" fontId="6" fillId="2" borderId="33" xfId="0" applyNumberFormat="1" applyFont="1" applyFill="1" applyBorder="1" applyAlignment="1" applyProtection="1">
      <alignment horizontal="center" vertical="center"/>
      <protection/>
    </xf>
    <xf numFmtId="198" fontId="0" fillId="0" borderId="34" xfId="0" applyNumberFormat="1" applyBorder="1" applyAlignment="1" applyProtection="1">
      <alignment horizontal="center" vertical="center"/>
      <protection/>
    </xf>
    <xf numFmtId="198" fontId="0" fillId="0" borderId="26" xfId="0" applyNumberFormat="1" applyBorder="1" applyAlignment="1" applyProtection="1">
      <alignment horizontal="center" vertical="center"/>
      <protection/>
    </xf>
    <xf numFmtId="198" fontId="6" fillId="2" borderId="18" xfId="0" applyNumberFormat="1" applyFont="1" applyFill="1" applyBorder="1" applyAlignment="1" applyProtection="1">
      <alignment horizontal="center"/>
      <protection/>
    </xf>
    <xf numFmtId="0" fontId="15" fillId="2" borderId="3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98" fontId="6" fillId="2" borderId="6" xfId="0" applyNumberFormat="1" applyFont="1" applyFill="1" applyBorder="1" applyAlignment="1" applyProtection="1">
      <alignment horizontal="center"/>
      <protection/>
    </xf>
    <xf numFmtId="198" fontId="6" fillId="2" borderId="2" xfId="0" applyNumberFormat="1" applyFont="1" applyFill="1" applyBorder="1" applyAlignment="1" applyProtection="1">
      <alignment horizontal="center"/>
      <protection/>
    </xf>
    <xf numFmtId="198" fontId="6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/>
      <protection/>
    </xf>
    <xf numFmtId="10" fontId="6" fillId="2" borderId="37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0" fontId="21" fillId="2" borderId="9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left"/>
    </xf>
    <xf numFmtId="0" fontId="21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201" fontId="0" fillId="2" borderId="1" xfId="0" applyNumberFormat="1" applyFont="1" applyFill="1" applyBorder="1" applyAlignment="1" applyProtection="1">
      <alignment horizontal="right"/>
      <protection/>
    </xf>
    <xf numFmtId="201" fontId="0" fillId="2" borderId="13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1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4" fillId="2" borderId="39" xfId="0" applyFont="1" applyFill="1" applyBorder="1" applyAlignment="1" applyProtection="1">
      <alignment horizontal="left" vertical="center" wrapText="1"/>
      <protection/>
    </xf>
    <xf numFmtId="0" fontId="14" fillId="2" borderId="8" xfId="0" applyFont="1" applyFill="1" applyBorder="1" applyAlignment="1" applyProtection="1">
      <alignment horizontal="left" vertical="center" wrapText="1"/>
      <protection/>
    </xf>
    <xf numFmtId="0" fontId="14" fillId="2" borderId="40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6" fillId="2" borderId="27" xfId="0" applyFont="1" applyFill="1" applyBorder="1" applyAlignment="1" applyProtection="1">
      <alignment horizontal="left" wrapText="1"/>
      <protection/>
    </xf>
    <xf numFmtId="0" fontId="6" fillId="2" borderId="12" xfId="0" applyFont="1" applyFill="1" applyBorder="1" applyAlignment="1" applyProtection="1">
      <alignment horizontal="left" wrapText="1"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10" xfId="0" applyNumberFormat="1" applyFont="1" applyFill="1" applyBorder="1" applyAlignment="1" applyProtection="1">
      <alignment horizontal="center"/>
      <protection/>
    </xf>
    <xf numFmtId="0" fontId="6" fillId="2" borderId="41" xfId="0" applyFont="1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40" xfId="0" applyFill="1" applyBorder="1" applyAlignment="1" applyProtection="1">
      <alignment horizontal="left"/>
      <protection/>
    </xf>
    <xf numFmtId="0" fontId="6" fillId="2" borderId="19" xfId="0" applyFont="1" applyFill="1" applyBorder="1" applyAlignment="1" applyProtection="1">
      <alignment horizontal="left" wrapText="1"/>
      <protection/>
    </xf>
    <xf numFmtId="0" fontId="6" fillId="2" borderId="25" xfId="0" applyFont="1" applyFill="1" applyBorder="1" applyAlignment="1" applyProtection="1">
      <alignment horizontal="left" wrapText="1"/>
      <protection/>
    </xf>
    <xf numFmtId="0" fontId="6" fillId="2" borderId="20" xfId="0" applyFont="1" applyFill="1" applyBorder="1" applyAlignment="1" applyProtection="1">
      <alignment horizontal="left" wrapText="1"/>
      <protection/>
    </xf>
    <xf numFmtId="0" fontId="6" fillId="2" borderId="39" xfId="0" applyFont="1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39" xfId="0" applyFont="1" applyFill="1" applyBorder="1" applyAlignment="1" applyProtection="1">
      <alignment horizontal="center"/>
      <protection/>
    </xf>
    <xf numFmtId="0" fontId="6" fillId="2" borderId="40" xfId="0" applyFont="1" applyFill="1" applyBorder="1" applyAlignment="1" applyProtection="1">
      <alignment horizontal="center"/>
      <protection/>
    </xf>
    <xf numFmtId="10" fontId="6" fillId="2" borderId="43" xfId="0" applyNumberFormat="1" applyFont="1" applyFill="1" applyBorder="1" applyAlignment="1" applyProtection="1">
      <alignment horizontal="center"/>
      <protection/>
    </xf>
    <xf numFmtId="10" fontId="6" fillId="2" borderId="22" xfId="0" applyNumberFormat="1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0" fontId="6" fillId="2" borderId="44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2" borderId="41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0" fontId="6" fillId="2" borderId="12" xfId="0" applyNumberFormat="1" applyFont="1" applyFill="1" applyBorder="1" applyAlignment="1" applyProtection="1">
      <alignment horizontal="center"/>
      <protection/>
    </xf>
    <xf numFmtId="10" fontId="6" fillId="2" borderId="5" xfId="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25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33" xfId="0" applyFont="1" applyFill="1" applyBorder="1" applyAlignment="1" applyProtection="1">
      <alignment horizontal="left"/>
      <protection/>
    </xf>
    <xf numFmtId="0" fontId="4" fillId="2" borderId="34" xfId="0" applyFont="1" applyFill="1" applyBorder="1" applyAlignment="1" applyProtection="1">
      <alignment horizontal="left"/>
      <protection/>
    </xf>
    <xf numFmtId="0" fontId="4" fillId="2" borderId="26" xfId="0" applyFont="1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46" xfId="0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42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" borderId="48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4" fontId="4" fillId="2" borderId="49" xfId="0" applyNumberFormat="1" applyFon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2" borderId="45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44" xfId="0" applyFont="1" applyFill="1" applyBorder="1" applyAlignment="1" applyProtection="1">
      <alignment horizontal="left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14" fontId="0" fillId="2" borderId="16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7" xfId="0" applyNumberFormat="1" applyFont="1" applyFill="1" applyBorder="1" applyAlignment="1" applyProtection="1">
      <alignment horizontal="left"/>
      <protection/>
    </xf>
    <xf numFmtId="0" fontId="18" fillId="2" borderId="30" xfId="0" applyFont="1" applyFill="1" applyBorder="1" applyAlignment="1" applyProtection="1">
      <alignment horizontal="left"/>
      <protection/>
    </xf>
    <xf numFmtId="0" fontId="18" fillId="2" borderId="29" xfId="0" applyFont="1" applyFill="1" applyBorder="1" applyAlignment="1" applyProtection="1">
      <alignment horizontal="left"/>
      <protection/>
    </xf>
    <xf numFmtId="0" fontId="18" fillId="2" borderId="38" xfId="0" applyFont="1" applyFill="1" applyBorder="1" applyAlignment="1" applyProtection="1">
      <alignment horizontal="left"/>
      <protection/>
    </xf>
    <xf numFmtId="0" fontId="18" fillId="2" borderId="35" xfId="0" applyFont="1" applyFill="1" applyBorder="1" applyAlignment="1">
      <alignment horizontal="left"/>
    </xf>
    <xf numFmtId="0" fontId="18" fillId="2" borderId="31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30" xfId="0" applyFont="1" applyFill="1" applyBorder="1" applyAlignment="1" applyProtection="1">
      <alignment horizontal="center"/>
      <protection/>
    </xf>
    <xf numFmtId="0" fontId="3" fillId="2" borderId="29" xfId="0" applyFont="1" applyFill="1" applyBorder="1" applyAlignment="1" applyProtection="1">
      <alignment horizontal="center"/>
      <protection/>
    </xf>
    <xf numFmtId="0" fontId="3" fillId="2" borderId="38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4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 horizontal="left"/>
      <protection/>
    </xf>
    <xf numFmtId="0" fontId="6" fillId="2" borderId="42" xfId="0" applyFont="1" applyFill="1" applyBorder="1" applyAlignment="1" applyProtection="1">
      <alignment horizontal="left"/>
      <protection/>
    </xf>
    <xf numFmtId="0" fontId="6" fillId="2" borderId="36" xfId="0" applyFont="1" applyFill="1" applyBorder="1" applyAlignment="1" applyProtection="1">
      <alignment horizontal="left"/>
      <protection/>
    </xf>
    <xf numFmtId="198" fontId="6" fillId="2" borderId="41" xfId="0" applyNumberFormat="1" applyFont="1" applyFill="1" applyBorder="1" applyAlignment="1" applyProtection="1">
      <alignment horizontal="center"/>
      <protection/>
    </xf>
    <xf numFmtId="198" fontId="6" fillId="2" borderId="36" xfId="0" applyNumberFormat="1" applyFont="1" applyFill="1" applyBorder="1" applyAlignment="1" applyProtection="1">
      <alignment horizontal="center"/>
      <protection/>
    </xf>
    <xf numFmtId="198" fontId="6" fillId="2" borderId="42" xfId="0" applyNumberFormat="1" applyFont="1" applyFill="1" applyBorder="1" applyAlignment="1" applyProtection="1">
      <alignment horizontal="center"/>
      <protection/>
    </xf>
    <xf numFmtId="0" fontId="3" fillId="2" borderId="50" xfId="0" applyFont="1" applyFill="1" applyBorder="1" applyAlignment="1" applyProtection="1">
      <alignment/>
      <protection/>
    </xf>
    <xf numFmtId="0" fontId="0" fillId="2" borderId="51" xfId="0" applyFill="1" applyBorder="1" applyAlignment="1" applyProtection="1">
      <alignment/>
      <protection/>
    </xf>
    <xf numFmtId="0" fontId="0" fillId="2" borderId="52" xfId="0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 horizontal="left" wrapText="1"/>
      <protection/>
    </xf>
    <xf numFmtId="0" fontId="6" fillId="2" borderId="18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3" fillId="2" borderId="53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0" fillId="2" borderId="5" xfId="0" applyFont="1" applyFill="1" applyBorder="1" applyAlignment="1" applyProtection="1">
      <alignment horizontal="left"/>
      <protection/>
    </xf>
    <xf numFmtId="201" fontId="0" fillId="2" borderId="5" xfId="0" applyNumberFormat="1" applyFont="1" applyFill="1" applyBorder="1" applyAlignment="1" applyProtection="1">
      <alignment horizontal="right"/>
      <protection/>
    </xf>
    <xf numFmtId="0" fontId="0" fillId="2" borderId="41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0" fillId="2" borderId="29" xfId="0" applyFont="1" applyFill="1" applyBorder="1" applyAlignment="1" applyProtection="1">
      <alignment horizontal="left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23" xfId="0" applyNumberFormat="1" applyFont="1" applyFill="1" applyBorder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4" fillId="2" borderId="35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6" fillId="2" borderId="39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40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6" fillId="2" borderId="27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/>
      <protection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5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166" fontId="4" fillId="0" borderId="18" xfId="0" applyNumberFormat="1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182" fontId="5" fillId="0" borderId="18" xfId="0" applyNumberFormat="1" applyFont="1" applyBorder="1" applyAlignment="1" applyProtection="1">
      <alignment horizontal="left"/>
      <protection locked="0"/>
    </xf>
    <xf numFmtId="182" fontId="5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4" fillId="0" borderId="5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82" fontId="4" fillId="0" borderId="18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182" fontId="4" fillId="0" borderId="2" xfId="0" applyNumberFormat="1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182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1" xfId="0" applyFont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0" fontId="4" fillId="0" borderId="33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49" fontId="0" fillId="2" borderId="7" xfId="0" applyNumberForma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Outros afastamentos
0,4%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4,4%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Resumo!$A$153:$A$169</c:f>
              <c:strCache>
                <c:ptCount val="17"/>
                <c:pt idx="0">
                  <c:v>Afastamentos para capacitação</c:v>
                </c:pt>
                <c:pt idx="1">
                  <c:v>Outros afastamentos</c:v>
                </c:pt>
                <c:pt idx="2">
                  <c:v>Qualificação sem afastamento                                                                    </c:v>
                </c:pt>
                <c:pt idx="3">
                  <c:v>Aulas na graduação</c:v>
                </c:pt>
                <c:pt idx="4">
                  <c:v>Atividades acessórias graduação</c:v>
                </c:pt>
                <c:pt idx="5">
                  <c:v>Orientações na graduação</c:v>
                </c:pt>
                <c:pt idx="6">
                  <c:v>Aulas na pós-graduação</c:v>
                </c:pt>
                <c:pt idx="7">
                  <c:v>Atividades acessórias na pós-graduação</c:v>
                </c:pt>
                <c:pt idx="8">
                  <c:v>Orientações na pós-graduação</c:v>
                </c:pt>
                <c:pt idx="9">
                  <c:v>Pesquisa</c:v>
                </c:pt>
                <c:pt idx="10">
                  <c:v>Extensão   </c:v>
                </c:pt>
                <c:pt idx="11">
                  <c:v>Atividades de apoio acadêmico  </c:v>
                </c:pt>
                <c:pt idx="12">
                  <c:v>Bancas e comissões examinadoras</c:v>
                </c:pt>
                <c:pt idx="13">
                  <c:v>Cargos de direção (CDs e FGs)</c:v>
                </c:pt>
                <c:pt idx="14">
                  <c:v>Atividades administrativas</c:v>
                </c:pt>
                <c:pt idx="15">
                  <c:v>Atividades de representação</c:v>
                </c:pt>
                <c:pt idx="16">
                  <c:v>Outras atividades acadêmicas</c:v>
                </c:pt>
              </c:strCache>
            </c:strRef>
          </c:cat>
          <c:val>
            <c:numRef>
              <c:f>Resumo!$D$153:$D$169</c:f>
              <c:numCache>
                <c:ptCount val="17"/>
                <c:pt idx="0">
                  <c:v>3080</c:v>
                </c:pt>
                <c:pt idx="1">
                  <c:v>120</c:v>
                </c:pt>
                <c:pt idx="2">
                  <c:v>1314</c:v>
                </c:pt>
                <c:pt idx="3">
                  <c:v>5741</c:v>
                </c:pt>
                <c:pt idx="4">
                  <c:v>8867</c:v>
                </c:pt>
                <c:pt idx="5">
                  <c:v>1758</c:v>
                </c:pt>
                <c:pt idx="6">
                  <c:v>429</c:v>
                </c:pt>
                <c:pt idx="7">
                  <c:v>445</c:v>
                </c:pt>
                <c:pt idx="8">
                  <c:v>691</c:v>
                </c:pt>
                <c:pt idx="9">
                  <c:v>1705</c:v>
                </c:pt>
                <c:pt idx="10">
                  <c:v>400</c:v>
                </c:pt>
                <c:pt idx="11">
                  <c:v>189</c:v>
                </c:pt>
                <c:pt idx="12">
                  <c:v>390</c:v>
                </c:pt>
                <c:pt idx="13">
                  <c:v>2383</c:v>
                </c:pt>
                <c:pt idx="14">
                  <c:v>1302</c:v>
                </c:pt>
                <c:pt idx="15">
                  <c:v>302</c:v>
                </c:pt>
                <c:pt idx="16">
                  <c:v>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104775</xdr:rowOff>
    </xdr:from>
    <xdr:to>
      <xdr:col>15</xdr:col>
      <xdr:colOff>581025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57150" y="685800"/>
        <a:ext cx="926782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2008.1</v>
          </cell>
        </row>
        <row r="5">
          <cell r="C5" t="str">
            <v>22/04/2008 a 05/09/2008</v>
          </cell>
          <cell r="L5">
            <v>840</v>
          </cell>
        </row>
        <row r="6">
          <cell r="C6" t="str">
            <v>22/04/2008 a 29/08/2008</v>
          </cell>
          <cell r="L6">
            <v>800</v>
          </cell>
        </row>
        <row r="8">
          <cell r="E8">
            <v>21</v>
          </cell>
          <cell r="L8">
            <v>700</v>
          </cell>
        </row>
        <row r="9">
          <cell r="E9">
            <v>20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02</v>
          </cell>
          <cell r="E57">
            <v>6</v>
          </cell>
          <cell r="F57">
            <v>90</v>
          </cell>
          <cell r="I57">
            <v>49</v>
          </cell>
          <cell r="J57">
            <v>42</v>
          </cell>
          <cell r="K57">
            <v>5</v>
          </cell>
          <cell r="L57">
            <v>2</v>
          </cell>
        </row>
        <row r="58">
          <cell r="A58" t="str">
            <v>Cálculo Difer. e Integral III (Comp.+Elétr.) -T 01</v>
          </cell>
          <cell r="E58">
            <v>5</v>
          </cell>
          <cell r="F58">
            <v>75</v>
          </cell>
          <cell r="I58">
            <v>53</v>
          </cell>
          <cell r="J58">
            <v>39</v>
          </cell>
          <cell r="K58">
            <v>12</v>
          </cell>
          <cell r="L58">
            <v>2</v>
          </cell>
        </row>
        <row r="62">
          <cell r="E62">
            <v>11</v>
          </cell>
          <cell r="F62">
            <v>165</v>
          </cell>
          <cell r="G62">
            <v>330</v>
          </cell>
          <cell r="I62">
            <v>102</v>
          </cell>
          <cell r="J62">
            <v>81</v>
          </cell>
          <cell r="K62">
            <v>17</v>
          </cell>
          <cell r="L62">
            <v>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99">
          <cell r="A99" t="str">
            <v>Ana Paula Alves Barros (Co-orientação Prof. Aparecido)</v>
          </cell>
        </row>
        <row r="101">
          <cell r="A101" t="str">
            <v>Métodos Numéricos em Equações Diferenciais</v>
          </cell>
          <cell r="J101" t="str">
            <v>CNPq</v>
          </cell>
          <cell r="L101" t="str">
            <v>Em andamento</v>
          </cell>
        </row>
        <row r="103">
          <cell r="A103" t="str">
            <v>PIBIC</v>
          </cell>
          <cell r="G103">
            <v>39448</v>
          </cell>
          <cell r="H103">
            <v>39660</v>
          </cell>
        </row>
        <row r="104">
          <cell r="L104">
            <v>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06">
          <cell r="A306" t="str">
            <v>Comissão de Avaliação de Estágio Probatório (Profa. Patricia)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Coordenador do Projeto de Monitoria - DME</v>
          </cell>
          <cell r="J310">
            <v>38901</v>
          </cell>
        </row>
        <row r="314">
          <cell r="A314" t="str">
            <v>Membro da comissão de avaliação dos Projetos Pedagógicos de Cursos do CCT </v>
          </cell>
          <cell r="H314" t="str">
            <v>Port./UAME 03/2005</v>
          </cell>
          <cell r="J314">
            <v>38463</v>
          </cell>
        </row>
        <row r="320">
          <cell r="L320">
            <v>115</v>
          </cell>
        </row>
        <row r="324">
          <cell r="A324" t="str">
            <v>Graduação em Matemática</v>
          </cell>
          <cell r="H324" t="str">
            <v>Port./UAME/007/2007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Port./UAME/008/2007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Participação no Comitê Gestor do Projeto Praça da Engenharia - PROENGE</v>
          </cell>
        </row>
        <row r="347">
          <cell r="A347" t="str">
            <v>Elaboração do sub-projeto de Matemática do PIBID</v>
          </cell>
        </row>
        <row r="353">
          <cell r="L353">
            <v>60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165</v>
          </cell>
          <cell r="E406">
            <v>0</v>
          </cell>
          <cell r="F406">
            <v>330</v>
          </cell>
          <cell r="G406">
            <v>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115</v>
          </cell>
          <cell r="C409">
            <v>10</v>
          </cell>
          <cell r="D409">
            <v>60</v>
          </cell>
          <cell r="E409">
            <v>700</v>
          </cell>
        </row>
      </sheetData>
      <sheetData sheetId="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39871</v>
          </cell>
          <cell r="K19" t="str">
            <v>Port.R/SRH/1255/2005</v>
          </cell>
        </row>
        <row r="21">
          <cell r="A21" t="str">
            <v>Doutorado em Estatística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XVIII SINAPE</v>
          </cell>
          <cell r="I358">
            <v>39657</v>
          </cell>
          <cell r="J358">
            <v>39661</v>
          </cell>
          <cell r="K358" t="str">
            <v>ABE</v>
          </cell>
          <cell r="L358" t="str">
            <v>Nacional</v>
          </cell>
        </row>
        <row r="406">
          <cell r="A406">
            <v>840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840</v>
          </cell>
        </row>
      </sheetData>
      <sheetData sheetId="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  <cell r="K19" t="str">
            <v>Port./R/SRH/219/2007</v>
          </cell>
        </row>
        <row r="21">
          <cell r="A21" t="str">
            <v>Doutorado em Estatística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840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840</v>
          </cell>
        </row>
      </sheetData>
      <sheetData sheetId="3">
        <row r="5">
          <cell r="L5">
            <v>840</v>
          </cell>
        </row>
        <row r="6">
          <cell r="L6">
            <v>800</v>
          </cell>
        </row>
        <row r="8">
          <cell r="L8">
            <v>740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02</v>
          </cell>
          <cell r="E57">
            <v>4</v>
          </cell>
          <cell r="F57">
            <v>60</v>
          </cell>
          <cell r="I57">
            <v>61</v>
          </cell>
          <cell r="J57">
            <v>41</v>
          </cell>
          <cell r="K57">
            <v>8</v>
          </cell>
          <cell r="L57">
            <v>12</v>
          </cell>
        </row>
        <row r="58">
          <cell r="A58" t="str">
            <v>Cálculo Diferencial e Integral III - T 01</v>
          </cell>
          <cell r="E58">
            <v>6</v>
          </cell>
          <cell r="F58">
            <v>90</v>
          </cell>
          <cell r="I58">
            <v>33</v>
          </cell>
          <cell r="J58">
            <v>26</v>
          </cell>
          <cell r="K58">
            <v>6</v>
          </cell>
          <cell r="L58">
            <v>1</v>
          </cell>
        </row>
        <row r="59">
          <cell r="A59" t="str">
            <v>TE (Mat. p/ o Ens. Méd. I - Visão Crítica) - T 02</v>
          </cell>
          <cell r="E59">
            <v>4</v>
          </cell>
          <cell r="F59">
            <v>60</v>
          </cell>
          <cell r="I59">
            <v>23</v>
          </cell>
          <cell r="J59">
            <v>16</v>
          </cell>
          <cell r="K59">
            <v>4</v>
          </cell>
          <cell r="L59">
            <v>3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117</v>
          </cell>
          <cell r="J62">
            <v>83</v>
          </cell>
          <cell r="K62">
            <v>18</v>
          </cell>
          <cell r="L62">
            <v>16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</v>
          </cell>
        </row>
        <row r="80">
          <cell r="A80" t="str">
            <v>Projeto de Monitoria da UAME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39560</v>
          </cell>
        </row>
        <row r="104">
          <cell r="L104">
            <v>40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Coordenador da disciplina Álgebra Linear I</v>
          </cell>
          <cell r="J247">
            <v>39560</v>
          </cell>
          <cell r="K247">
            <v>39689</v>
          </cell>
        </row>
        <row r="248">
          <cell r="B248" t="str">
            <v>Coordenação de disciplina</v>
          </cell>
        </row>
        <row r="267">
          <cell r="L267">
            <v>40</v>
          </cell>
        </row>
        <row r="271">
          <cell r="A271" t="str">
            <v>Concurso  professor substituto da UAME/CCT/UFCG</v>
          </cell>
          <cell r="H271" t="str">
            <v>UFCG</v>
          </cell>
          <cell r="K271">
            <v>39626</v>
          </cell>
        </row>
        <row r="272">
          <cell r="B272" t="str">
            <v>Banca examinadora de concurso público para professor temporário</v>
          </cell>
        </row>
        <row r="291">
          <cell r="L291">
            <v>10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Civil</v>
          </cell>
          <cell r="H324" t="str">
            <v>Port./UAME/009/2007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Port./UAME/010/2007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Elaboração e correção da Prova de monitoria da diciplina Álgebra Linear I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40</v>
          </cell>
          <cell r="H406">
            <v>0</v>
          </cell>
          <cell r="I406">
            <v>0</v>
          </cell>
          <cell r="J406">
            <v>0</v>
          </cell>
          <cell r="K406">
            <v>40</v>
          </cell>
          <cell r="L406">
            <v>10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10</v>
          </cell>
          <cell r="E409">
            <v>740</v>
          </cell>
        </row>
      </sheetData>
      <sheetData sheetId="4">
        <row r="5">
          <cell r="L5">
            <v>120</v>
          </cell>
        </row>
        <row r="6">
          <cell r="L6">
            <v>80</v>
          </cell>
        </row>
        <row r="8">
          <cell r="L8">
            <v>0</v>
          </cell>
        </row>
        <row r="13">
          <cell r="C13" t="str">
            <v>Ângelo Roncalli  Furtado de Holanda</v>
          </cell>
          <cell r="J13" t="str">
            <v>2318390-8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39678</v>
          </cell>
          <cell r="E15" t="str">
            <v>Redistr.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</sheetData>
      <sheetData sheetId="5">
        <row r="5">
          <cell r="L5">
            <v>840</v>
          </cell>
        </row>
        <row r="6">
          <cell r="L6">
            <v>800</v>
          </cell>
        </row>
        <row r="8">
          <cell r="L8">
            <v>839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Ec. e Introd. à Econometria - T 01</v>
          </cell>
          <cell r="E57">
            <v>4</v>
          </cell>
          <cell r="F57">
            <v>60</v>
          </cell>
          <cell r="I57">
            <v>37</v>
          </cell>
          <cell r="J57">
            <v>17</v>
          </cell>
          <cell r="K57">
            <v>13</v>
          </cell>
          <cell r="L57">
            <v>7</v>
          </cell>
        </row>
        <row r="58">
          <cell r="A58" t="str">
            <v>Introdução à Estatística Econômica -T 01 </v>
          </cell>
          <cell r="E58">
            <v>4</v>
          </cell>
          <cell r="F58">
            <v>60</v>
          </cell>
          <cell r="I58">
            <v>60</v>
          </cell>
          <cell r="J58">
            <v>11</v>
          </cell>
          <cell r="K58">
            <v>25</v>
          </cell>
          <cell r="L58">
            <v>24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97</v>
          </cell>
          <cell r="J62">
            <v>28</v>
          </cell>
          <cell r="K62">
            <v>38</v>
          </cell>
          <cell r="L62">
            <v>31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Danielly de Farias Almeida</v>
          </cell>
        </row>
        <row r="80">
          <cell r="A80" t="str">
            <v>Monitoria do CH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39560</v>
          </cell>
          <cell r="H82">
            <v>39689</v>
          </cell>
        </row>
        <row r="104">
          <cell r="L104">
            <v>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Comissão para elaboração do PPC_Curso de Estatística  do CCT/UFCG</v>
          </cell>
          <cell r="J247">
            <v>39650</v>
          </cell>
        </row>
        <row r="248">
          <cell r="B248" t="str">
            <v>Participação em comissões acadêmicas, assessorias e consultorias que tratem de assuntos de abrangência do centro por designação do chefe</v>
          </cell>
        </row>
        <row r="250">
          <cell r="A250" t="str">
            <v>IV Encontro de Inferência em Processos Estocásticos Especiais</v>
          </cell>
          <cell r="J250">
            <v>39608</v>
          </cell>
          <cell r="K250">
            <v>39610</v>
          </cell>
        </row>
        <row r="251">
          <cell r="B251" t="str">
            <v>Membro de comissão de evento técnico-científico ou artístico-cultural nacional</v>
          </cell>
        </row>
        <row r="267">
          <cell r="L267">
            <v>24</v>
          </cell>
        </row>
        <row r="271">
          <cell r="A271" t="str">
            <v>Concurso Público_Campus de Sousa</v>
          </cell>
          <cell r="H271" t="str">
            <v>CCJS_Sousa</v>
          </cell>
          <cell r="K271">
            <v>39567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Público_UFAL</v>
          </cell>
          <cell r="H274" t="str">
            <v>Faculdade de Medicina_UFAL</v>
          </cell>
          <cell r="K274">
            <v>39591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55</v>
          </cell>
        </row>
        <row r="295">
          <cell r="A295" t="str">
            <v>Assessor do Reitor para analisar indicadores acadêmicos da graduação</v>
          </cell>
          <cell r="H295" t="str">
            <v>Portaria R/080/07</v>
          </cell>
          <cell r="J295">
            <v>39419</v>
          </cell>
          <cell r="K295">
            <v>39667</v>
          </cell>
        </row>
        <row r="296">
          <cell r="A296" t="str">
            <v>Pesquisador Institucional da UFCG - PI/UFCG</v>
          </cell>
          <cell r="H296" t="str">
            <v>Portaria R/084/08/08</v>
          </cell>
          <cell r="J296">
            <v>39668</v>
          </cell>
        </row>
        <row r="298">
          <cell r="L298">
            <v>480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Parecerista ad-hoc do REUNI</v>
          </cell>
          <cell r="J346">
            <v>39631</v>
          </cell>
          <cell r="K346">
            <v>39633</v>
          </cell>
        </row>
        <row r="353">
          <cell r="L353">
            <v>20</v>
          </cell>
        </row>
        <row r="358">
          <cell r="A358" t="str">
            <v>IV Encontro de Inferência em Processos Estocásticos Especiais </v>
          </cell>
          <cell r="I358">
            <v>39608</v>
          </cell>
          <cell r="J358">
            <v>39610</v>
          </cell>
          <cell r="K358" t="str">
            <v>UFCG</v>
          </cell>
          <cell r="L358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20</v>
          </cell>
          <cell r="H406">
            <v>0</v>
          </cell>
          <cell r="I406">
            <v>0</v>
          </cell>
          <cell r="J406">
            <v>0</v>
          </cell>
          <cell r="K406">
            <v>24</v>
          </cell>
          <cell r="L406">
            <v>55</v>
          </cell>
        </row>
        <row r="409">
          <cell r="A409">
            <v>480</v>
          </cell>
          <cell r="B409">
            <v>0</v>
          </cell>
          <cell r="C409">
            <v>0</v>
          </cell>
          <cell r="D409">
            <v>20</v>
          </cell>
          <cell r="E409">
            <v>839</v>
          </cell>
        </row>
      </sheetData>
      <sheetData sheetId="6">
        <row r="5">
          <cell r="L5">
            <v>840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51">
          <cell r="L51">
            <v>250</v>
          </cell>
        </row>
        <row r="57">
          <cell r="A57" t="str">
            <v>Álgebra II - T 01</v>
          </cell>
          <cell r="E57">
            <v>4</v>
          </cell>
          <cell r="F57">
            <v>60</v>
          </cell>
          <cell r="I57">
            <v>12</v>
          </cell>
          <cell r="J57">
            <v>4</v>
          </cell>
          <cell r="K57">
            <v>4</v>
          </cell>
          <cell r="L57">
            <v>4</v>
          </cell>
        </row>
        <row r="58">
          <cell r="A58" t="str">
            <v>Tópicos Especiais de Álgebra - T 01</v>
          </cell>
          <cell r="E58">
            <v>4</v>
          </cell>
          <cell r="F58">
            <v>60</v>
          </cell>
          <cell r="I58">
            <v>5</v>
          </cell>
          <cell r="J58">
            <v>3</v>
          </cell>
          <cell r="K58">
            <v>1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17</v>
          </cell>
          <cell r="J62">
            <v>7</v>
          </cell>
          <cell r="K62">
            <v>5</v>
          </cell>
          <cell r="L62">
            <v>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Leomaques Francisco Silva Bernardo</v>
          </cell>
        </row>
        <row r="112">
          <cell r="A112" t="str">
            <v>Identidades e polinômios centrais para álgebras de matrizes</v>
          </cell>
          <cell r="J112" t="str">
            <v>CAPES</v>
          </cell>
        </row>
        <row r="114">
          <cell r="G114">
            <v>39489</v>
          </cell>
        </row>
        <row r="136">
          <cell r="L136">
            <v>90</v>
          </cell>
        </row>
        <row r="140">
          <cell r="A140" t="str">
            <v>Polinômios Centrais para Álgebras Supercomutativas</v>
          </cell>
          <cell r="K140" t="str">
            <v>Desativado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39508</v>
          </cell>
        </row>
        <row r="147">
          <cell r="A147" t="str">
            <v>Identidades e Polinômios Centrais Graduados para Matrizes Triangulares em Blocos</v>
          </cell>
          <cell r="K147" t="str">
            <v>Em andamento</v>
          </cell>
        </row>
        <row r="149">
          <cell r="A149" t="str">
            <v>Álgebras com Identidades Polinomiais</v>
          </cell>
          <cell r="H149" t="str">
            <v>Participante</v>
          </cell>
          <cell r="J149">
            <v>39489</v>
          </cell>
        </row>
        <row r="166">
          <cell r="L166">
            <v>15</v>
          </cell>
        </row>
        <row r="196">
          <cell r="L196">
            <v>0</v>
          </cell>
        </row>
        <row r="200">
          <cell r="A200" t="str">
            <v>A. Brandão Jr. , Graded Central Polynomials for the Algebra M_n(K), Rendiconti del Circolo Matematico di Palermo, 57, 267 - 280, 2008.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Concurso para professor substituto da UAME</v>
          </cell>
          <cell r="H271" t="str">
            <v>UAME/CCT</v>
          </cell>
          <cell r="K271" t="str">
            <v>17 e 27/06</v>
          </cell>
        </row>
        <row r="272">
          <cell r="B272" t="str">
            <v>Banca examinadora de concurso público para professor temporário</v>
          </cell>
        </row>
        <row r="291">
          <cell r="L291">
            <v>10</v>
          </cell>
        </row>
        <row r="298">
          <cell r="L298">
            <v>0</v>
          </cell>
        </row>
        <row r="302">
          <cell r="A302" t="str">
            <v>Comissão de Avaliação de Estágio Probatório (Prof. Marcelo)</v>
          </cell>
          <cell r="H302" t="str">
            <v>Port./UAME/05/2007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(Profa. Miichelli)</v>
          </cell>
          <cell r="H306" t="str">
            <v>Port./UAME/ 04/2007</v>
          </cell>
          <cell r="J306">
            <v>39149</v>
          </cell>
          <cell r="K306">
            <v>40245</v>
          </cell>
        </row>
        <row r="320">
          <cell r="L320">
            <v>30</v>
          </cell>
        </row>
        <row r="324">
          <cell r="A324" t="str">
            <v>Graduação em Engenharia Agrícola</v>
          </cell>
          <cell r="H324" t="str">
            <v>Port./UAME/10/2007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8</v>
          </cell>
        </row>
        <row r="346">
          <cell r="A346" t="str">
            <v>Assembléias Departamentais</v>
          </cell>
        </row>
        <row r="347">
          <cell r="A347" t="str">
            <v>Elaboração e digitação de uma apostila de álgebra não comutativa</v>
          </cell>
          <cell r="J347">
            <v>39370</v>
          </cell>
        </row>
        <row r="348">
          <cell r="A348" t="str">
            <v>Substituição de professor (Álgebra Linear I - Turma 01 - Profa. Miriam)</v>
          </cell>
          <cell r="J348">
            <v>39562</v>
          </cell>
          <cell r="K348">
            <v>39581</v>
          </cell>
        </row>
        <row r="353">
          <cell r="L353">
            <v>37</v>
          </cell>
        </row>
        <row r="406">
          <cell r="A406">
            <v>0</v>
          </cell>
          <cell r="B406">
            <v>0</v>
          </cell>
          <cell r="C406">
            <v>250</v>
          </cell>
          <cell r="D406">
            <v>120</v>
          </cell>
          <cell r="E406">
            <v>0</v>
          </cell>
          <cell r="F406">
            <v>240</v>
          </cell>
          <cell r="G406">
            <v>0</v>
          </cell>
          <cell r="H406">
            <v>90</v>
          </cell>
          <cell r="I406">
            <v>15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30</v>
          </cell>
          <cell r="C409">
            <v>8</v>
          </cell>
          <cell r="D409">
            <v>37</v>
          </cell>
          <cell r="E409">
            <v>800</v>
          </cell>
        </row>
      </sheetData>
      <sheetData sheetId="7">
        <row r="5">
          <cell r="L5">
            <v>840</v>
          </cell>
        </row>
        <row r="6">
          <cell r="L6">
            <v>800</v>
          </cell>
        </row>
        <row r="8">
          <cell r="L8">
            <v>834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(El+Compt)</v>
          </cell>
          <cell r="E57">
            <v>4</v>
          </cell>
          <cell r="F57">
            <v>60</v>
          </cell>
          <cell r="I57">
            <v>54</v>
          </cell>
          <cell r="J57">
            <v>35</v>
          </cell>
          <cell r="K57">
            <v>8</v>
          </cell>
          <cell r="L57">
            <v>11</v>
          </cell>
        </row>
        <row r="58">
          <cell r="A58" t="str">
            <v>Equações Diferenciais Ordinárias</v>
          </cell>
          <cell r="E58">
            <v>4</v>
          </cell>
          <cell r="F58">
            <v>60</v>
          </cell>
          <cell r="I58">
            <v>7</v>
          </cell>
          <cell r="J58">
            <v>3</v>
          </cell>
          <cell r="K58">
            <v>2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90</v>
          </cell>
          <cell r="I62">
            <v>61</v>
          </cell>
          <cell r="J62">
            <v>38</v>
          </cell>
          <cell r="K62">
            <v>10</v>
          </cell>
          <cell r="L62">
            <v>13</v>
          </cell>
          <cell r="O62">
            <v>2</v>
          </cell>
        </row>
        <row r="69">
          <cell r="A69" t="str">
            <v>Teoria de choques e leis de conservação (08.1)</v>
          </cell>
          <cell r="E69">
            <v>2</v>
          </cell>
          <cell r="F69">
            <v>60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4">
          <cell r="E74">
            <v>2</v>
          </cell>
          <cell r="F74">
            <v>60</v>
          </cell>
          <cell r="G74">
            <v>60</v>
          </cell>
          <cell r="I74">
            <v>2</v>
          </cell>
          <cell r="J74">
            <v>2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Ana Paula Alves Barros (Co-orientação Prof. Alciônio)</v>
          </cell>
        </row>
        <row r="80">
          <cell r="A80" t="str">
            <v>Métodos Numéricos em Equações Diferenciais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39448</v>
          </cell>
          <cell r="H82">
            <v>39660</v>
          </cell>
        </row>
        <row r="85">
          <cell r="A85" t="str">
            <v>Jeysibel de Souza Dantas</v>
          </cell>
        </row>
        <row r="87">
          <cell r="A87" t="str">
            <v>Apoio computacional as atividades de pesquisa do DME</v>
          </cell>
          <cell r="J87" t="str">
            <v>CNPq</v>
          </cell>
          <cell r="L87" t="str">
            <v>Em andamento</v>
          </cell>
        </row>
        <row r="89">
          <cell r="A89" t="str">
            <v>Auxílio integrado CNPq</v>
          </cell>
          <cell r="G89">
            <v>39356</v>
          </cell>
          <cell r="H89">
            <v>39660</v>
          </cell>
        </row>
        <row r="92">
          <cell r="A92" t="str">
            <v>João Victor Sampaio Borges</v>
          </cell>
        </row>
        <row r="94">
          <cell r="A94" t="str">
            <v>Atualização a Home-Page da UAME e apoio ao LIDME</v>
          </cell>
          <cell r="J94" t="str">
            <v>Não há</v>
          </cell>
          <cell r="L94" t="str">
            <v>Em andamento</v>
          </cell>
        </row>
        <row r="96">
          <cell r="A96" t="str">
            <v>Projeto Específico</v>
          </cell>
          <cell r="G96">
            <v>39508</v>
          </cell>
        </row>
        <row r="99">
          <cell r="A99" t="str">
            <v>Rivaldo Bezerra de Aquino Filho</v>
          </cell>
        </row>
        <row r="101">
          <cell r="A101" t="str">
            <v>Tópicos de Equações Diferenciais</v>
          </cell>
          <cell r="J101" t="str">
            <v>CNPq</v>
          </cell>
          <cell r="L101" t="str">
            <v>Em andamento</v>
          </cell>
        </row>
        <row r="103">
          <cell r="A103" t="str">
            <v>Auxílio integrado CNPq</v>
          </cell>
          <cell r="G103">
            <v>39326</v>
          </cell>
          <cell r="H103">
            <v>40025</v>
          </cell>
        </row>
        <row r="104">
          <cell r="L104">
            <v>80</v>
          </cell>
        </row>
        <row r="110">
          <cell r="A110" t="str">
            <v>Maria Joseane Felipe Guedes</v>
          </cell>
        </row>
        <row r="112">
          <cell r="A112" t="str">
            <v>Estrutura de ondas para um modelo de escoamento trifásico com viscosidades das fases assimétricas</v>
          </cell>
          <cell r="J112" t="str">
            <v>ANP</v>
          </cell>
        </row>
        <row r="114">
          <cell r="G114">
            <v>39142</v>
          </cell>
          <cell r="H114">
            <v>39872</v>
          </cell>
        </row>
        <row r="124">
          <cell r="A124" t="str">
            <v>Luciano Martins Barros</v>
          </cell>
        </row>
        <row r="126">
          <cell r="A126" t="str">
            <v>O problema de Riemann para um modelo de escoamento trifásico com viscosidades assimétricas e dados de produção genéricos</v>
          </cell>
          <cell r="J126" t="str">
            <v>ANP</v>
          </cell>
        </row>
        <row r="128">
          <cell r="G128">
            <v>39517</v>
          </cell>
          <cell r="H128">
            <v>40237</v>
          </cell>
        </row>
        <row r="131">
          <cell r="A131" t="str">
            <v>Désio Ramirez da Rocha Silva</v>
          </cell>
        </row>
        <row r="133">
          <cell r="A133" t="str">
            <v>Soluções das Equações de Navier-Stokes com Densidades Descontínuas</v>
          </cell>
          <cell r="J133" t="str">
            <v>CNPq</v>
          </cell>
        </row>
        <row r="135">
          <cell r="G135">
            <v>39539</v>
          </cell>
          <cell r="H135">
            <v>40237</v>
          </cell>
        </row>
        <row r="136">
          <cell r="L136">
            <v>56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39144</v>
          </cell>
          <cell r="K142">
            <v>39874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54">
          <cell r="A154" t="str">
            <v>Equações Diferenciais Aplicadas a Recuperação de Reservatórios Petrolíferos</v>
          </cell>
          <cell r="I154" t="str">
            <v>CNPq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39508</v>
          </cell>
          <cell r="K156">
            <v>40237</v>
          </cell>
        </row>
        <row r="158">
          <cell r="A158">
            <v>73800</v>
          </cell>
          <cell r="D158">
            <v>73800</v>
          </cell>
          <cell r="G158">
            <v>8754.67</v>
          </cell>
          <cell r="J158">
            <v>64845.33</v>
          </cell>
        </row>
        <row r="161">
          <cell r="A161" t="str">
            <v>Instituto do Milênio: Avanço Global e Integrado da Matemática Brasileira / IM-AGIMB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37316</v>
          </cell>
          <cell r="K163">
            <v>39752</v>
          </cell>
        </row>
        <row r="165">
          <cell r="A165">
            <v>10000</v>
          </cell>
          <cell r="D165">
            <v>10000</v>
          </cell>
          <cell r="G165">
            <v>10000</v>
          </cell>
          <cell r="J165">
            <v>0</v>
          </cell>
        </row>
        <row r="166">
          <cell r="L166">
            <v>150</v>
          </cell>
        </row>
        <row r="196">
          <cell r="L196">
            <v>0</v>
          </cell>
        </row>
        <row r="200">
          <cell r="A200" t="str">
            <v>Azevedo, A. ; Furtado, F. ; Marchesin, D. ; Souza, A. J.; The Riemann Solution of a Three-Phase Model in Porous Medias with Realistic Fluid Viscosities, Book of Abstracts of the HYP2008, pp 125-126, 2008.</v>
          </cell>
        </row>
        <row r="201">
          <cell r="B201" t="str">
            <v>Resumo publicado em anais de eventos internacionais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Elaboração do Regimento da UAME</v>
          </cell>
          <cell r="H302" t="str">
            <v>Port./UAME/41/07</v>
          </cell>
          <cell r="J302">
            <v>39489</v>
          </cell>
          <cell r="K302">
            <v>39751</v>
          </cell>
        </row>
        <row r="306">
          <cell r="A306" t="str">
            <v>Coordenação local do Projeto Instituto do Milênio em Matemática: IM-AGIMP</v>
          </cell>
          <cell r="H306" t="str">
            <v>Email do Jacob</v>
          </cell>
          <cell r="J306">
            <v>37316</v>
          </cell>
          <cell r="K306">
            <v>39751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Coordenação da Biblioteca Setorial da UAME</v>
          </cell>
          <cell r="H314" t="str">
            <v>Port./UAME/010/06</v>
          </cell>
          <cell r="J314">
            <v>38951</v>
          </cell>
        </row>
        <row r="318">
          <cell r="A318" t="str">
            <v>Avaliação p/ Progressão Funcional para a Classe de Professor Associado</v>
          </cell>
          <cell r="H318" t="str">
            <v>Port.GR/UFCG/ 064/2008</v>
          </cell>
          <cell r="J318">
            <v>39601</v>
          </cell>
        </row>
        <row r="320">
          <cell r="L320">
            <v>92</v>
          </cell>
        </row>
        <row r="324">
          <cell r="A324" t="str">
            <v>Pós-Graduação em Matemática</v>
          </cell>
          <cell r="H324" t="str">
            <v>Port./UAME/35/2007</v>
          </cell>
          <cell r="J324">
            <v>39405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6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do período 2008.1</v>
          </cell>
          <cell r="J347">
            <v>39566</v>
          </cell>
          <cell r="K347">
            <v>39577</v>
          </cell>
        </row>
        <row r="348">
          <cell r="A348" t="str">
            <v>Elaboração do projeto Institutos Nacionais: Avaço Global e Integrado da Matemática Brasileira</v>
          </cell>
          <cell r="J348">
            <v>39675</v>
          </cell>
          <cell r="K348">
            <v>39697</v>
          </cell>
        </row>
        <row r="353">
          <cell r="L353">
            <v>120</v>
          </cell>
        </row>
        <row r="358">
          <cell r="A358" t="str">
            <v>Twelfth International Conference on Hyperbolic Problems: Theory, Numerics, and Applications - HYP2008, 2008, College Park, MD</v>
          </cell>
          <cell r="I358">
            <v>39608</v>
          </cell>
          <cell r="J358">
            <v>39612</v>
          </cell>
          <cell r="K358" t="str">
            <v>U Maryland</v>
          </cell>
          <cell r="L358" t="str">
            <v>Internacional</v>
          </cell>
        </row>
        <row r="372">
          <cell r="A372" t="str">
            <v>Frederico da Cunha Furtado</v>
          </cell>
          <cell r="F372" t="str">
            <v>Universidade de Wyoming</v>
          </cell>
          <cell r="H372" t="str">
            <v>CNPq</v>
          </cell>
          <cell r="K372">
            <v>39587</v>
          </cell>
          <cell r="L372">
            <v>39591</v>
          </cell>
        </row>
        <row r="373">
          <cell r="C373" t="str">
            <v>Pesquisa conjunta sobre escoamentos em meios porosos</v>
          </cell>
        </row>
        <row r="389">
          <cell r="A389" t="str">
            <v>North Carolina State University - NCSU</v>
          </cell>
          <cell r="H389" t="str">
            <v>CNPq</v>
          </cell>
          <cell r="K389">
            <v>39615</v>
          </cell>
          <cell r="L389">
            <v>39617</v>
          </cell>
        </row>
        <row r="390">
          <cell r="C390" t="str">
            <v>Pesquisa conjunta com Stephen Schecter sobre estabilidade de ondas de combustão</v>
          </cell>
        </row>
        <row r="393">
          <cell r="A393" t="str">
            <v>University of Wyoming</v>
          </cell>
          <cell r="H393" t="str">
            <v>CNPq</v>
          </cell>
          <cell r="K393">
            <v>39616</v>
          </cell>
          <cell r="L393">
            <v>39625</v>
          </cell>
        </row>
        <row r="394">
          <cell r="C394" t="str">
            <v>Pesquisa conjunta com Frederico Furtado sobre escoamentos em meios porosos</v>
          </cell>
        </row>
        <row r="397">
          <cell r="A397" t="str">
            <v>Instituto Nacional de Matermática Pura e Aplicada</v>
          </cell>
          <cell r="H397" t="str">
            <v>CNPq</v>
          </cell>
          <cell r="K397">
            <v>39692</v>
          </cell>
          <cell r="L397">
            <v>39697</v>
          </cell>
        </row>
        <row r="398">
          <cell r="C398" t="str">
            <v>Pesquisa conjunta com Dan Marchesin sobre escoamentos em meios porosos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60</v>
          </cell>
          <cell r="F406">
            <v>150</v>
          </cell>
          <cell r="G406">
            <v>80</v>
          </cell>
          <cell r="H406">
            <v>56</v>
          </cell>
          <cell r="I406">
            <v>150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92</v>
          </cell>
          <cell r="C409">
            <v>6</v>
          </cell>
          <cell r="D409">
            <v>120</v>
          </cell>
          <cell r="E409">
            <v>834</v>
          </cell>
        </row>
      </sheetData>
      <sheetData sheetId="8">
        <row r="5">
          <cell r="L5">
            <v>640</v>
          </cell>
        </row>
        <row r="6">
          <cell r="L6">
            <v>640</v>
          </cell>
        </row>
        <row r="8">
          <cell r="L8">
            <v>640</v>
          </cell>
        </row>
        <row r="13">
          <cell r="C13" t="str">
            <v>Bianca Morelli Casalvara Caretta</v>
          </cell>
          <cell r="J13" t="str">
            <v>1527755-9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38813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K15">
            <v>39661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 02</v>
          </cell>
          <cell r="E57">
            <v>4</v>
          </cell>
          <cell r="F57">
            <v>54</v>
          </cell>
        </row>
        <row r="58">
          <cell r="A58" t="str">
            <v>Cálculo Difer. e Integral I (Comp.+Elétr.) - T 02</v>
          </cell>
          <cell r="E58">
            <v>4</v>
          </cell>
          <cell r="F58">
            <v>56</v>
          </cell>
        </row>
        <row r="62">
          <cell r="E62">
            <v>8</v>
          </cell>
          <cell r="F62">
            <v>110</v>
          </cell>
          <cell r="G62">
            <v>160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69">
          <cell r="A69" t="str">
            <v>Tópicos especiais de EDP II (08.1)</v>
          </cell>
          <cell r="E69">
            <v>4</v>
          </cell>
          <cell r="F69">
            <v>60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</row>
        <row r="73">
          <cell r="A73" t="str">
            <v>C. Leitura Esps. de Sobolev e Esps. Deps. do Tempo</v>
          </cell>
          <cell r="E73">
            <v>1</v>
          </cell>
          <cell r="F73">
            <v>15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</row>
        <row r="74">
          <cell r="E74">
            <v>5</v>
          </cell>
          <cell r="F74">
            <v>75</v>
          </cell>
          <cell r="G74">
            <v>25</v>
          </cell>
          <cell r="I74">
            <v>2</v>
          </cell>
          <cell r="J74">
            <v>2</v>
          </cell>
          <cell r="K74">
            <v>0</v>
          </cell>
          <cell r="L74">
            <v>0</v>
          </cell>
          <cell r="O74">
            <v>2</v>
          </cell>
        </row>
        <row r="78">
          <cell r="A78" t="str">
            <v>Israel Buriti Galvão</v>
          </cell>
        </row>
        <row r="80">
          <cell r="A80" t="str">
            <v>Princípios do Máximo para Equações Diferenciais Parciais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Projeto Específico</v>
          </cell>
          <cell r="G82">
            <v>39370</v>
          </cell>
          <cell r="H82">
            <v>39660</v>
          </cell>
        </row>
        <row r="85">
          <cell r="A85" t="str">
            <v>Shanira</v>
          </cell>
        </row>
        <row r="87">
          <cell r="A87" t="str">
            <v>Monitoria de Cálculo Diferencial e Integral I - Elétrica+Computação</v>
          </cell>
          <cell r="J87" t="str">
            <v>UFCG</v>
          </cell>
          <cell r="L87" t="str">
            <v>Em andamento</v>
          </cell>
        </row>
        <row r="89">
          <cell r="A89" t="str">
            <v>Monitoria</v>
          </cell>
          <cell r="G89">
            <v>39560</v>
          </cell>
          <cell r="H89">
            <v>39689</v>
          </cell>
        </row>
        <row r="104">
          <cell r="L104">
            <v>60</v>
          </cell>
        </row>
        <row r="117">
          <cell r="A117" t="str">
            <v>Francisca Leidmar Josué Vieira</v>
          </cell>
        </row>
        <row r="119">
          <cell r="A119" t="str">
            <v>A definir</v>
          </cell>
          <cell r="J119" t="str">
            <v>CAPES</v>
          </cell>
        </row>
        <row r="121">
          <cell r="G121">
            <v>39524</v>
          </cell>
          <cell r="H121">
            <v>39904</v>
          </cell>
        </row>
        <row r="124">
          <cell r="A124" t="str">
            <v>Geizane Lima da Silva</v>
          </cell>
        </row>
        <row r="126">
          <cell r="A126" t="str">
            <v>A definir</v>
          </cell>
          <cell r="J126" t="str">
            <v>CAPES</v>
          </cell>
        </row>
        <row r="128">
          <cell r="G128">
            <v>39524</v>
          </cell>
          <cell r="H128">
            <v>40254</v>
          </cell>
        </row>
        <row r="136">
          <cell r="L136">
            <v>55</v>
          </cell>
        </row>
        <row r="140">
          <cell r="A140" t="str">
            <v>Existência de Soluções p/ Mod. de Solidificação envolvendo Funções Campo de Fase</v>
          </cell>
          <cell r="K140" t="str">
            <v>Em andamento</v>
          </cell>
        </row>
        <row r="142">
          <cell r="A142" t="str">
            <v>Equações Diferenciais Parciais</v>
          </cell>
          <cell r="H142" t="str">
            <v>Coordenador</v>
          </cell>
          <cell r="J142">
            <v>38384</v>
          </cell>
          <cell r="K142">
            <v>39873</v>
          </cell>
        </row>
        <row r="147">
          <cell r="A147" t="str">
            <v>Exist. Local de Sol. p/ um Mod. De Solidific. envolvendo 3 Funções Campo de Fase</v>
          </cell>
          <cell r="K147" t="str">
            <v>Em andamento</v>
          </cell>
        </row>
        <row r="149">
          <cell r="A149" t="str">
            <v>Equações Diferenciais Parciais</v>
          </cell>
          <cell r="H149" t="str">
            <v>Coordenador</v>
          </cell>
          <cell r="J149">
            <v>38808</v>
          </cell>
          <cell r="K149">
            <v>39873</v>
          </cell>
        </row>
        <row r="154">
          <cell r="A154" t="str">
            <v>Modelo envolvendo 3 Funções Campo de Fase e com Convecção para Solidificação de Ligas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39052</v>
          </cell>
          <cell r="K156">
            <v>39845</v>
          </cell>
        </row>
        <row r="161">
          <cell r="A161" t="str">
            <v>Equações Diferenciais  Aplicadas e Álgebra com identidades polinomiais(Casadinho,Proc.CNPq 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140</v>
          </cell>
        </row>
        <row r="180">
          <cell r="A180" t="str">
            <v>Comissão de Olimpíada Campinense de Matemática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Participante</v>
          </cell>
        </row>
        <row r="184">
          <cell r="E184" t="str">
            <v>Alunos e professores das redes pública e privada de ensinos fundamental e médio de CG e região</v>
          </cell>
          <cell r="I184" t="str">
            <v>UFCG</v>
          </cell>
        </row>
        <row r="196">
          <cell r="L196">
            <v>10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Coordenação de Conferências da UAME</v>
          </cell>
          <cell r="H302" t="str">
            <v>Port./UAME/015/2006</v>
          </cell>
          <cell r="J302">
            <v>38982</v>
          </cell>
          <cell r="K302">
            <v>39660</v>
          </cell>
        </row>
        <row r="320">
          <cell r="L320">
            <v>5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  <cell r="K324">
            <v>39660</v>
          </cell>
        </row>
        <row r="325">
          <cell r="B325" t="str">
            <v>Participação em Colegiado de Curso como membro suplente</v>
          </cell>
        </row>
        <row r="328">
          <cell r="A328" t="str">
            <v>Pós-Graduação em Matemática</v>
          </cell>
          <cell r="H328" t="str">
            <v>Port./UAME/036/2007</v>
          </cell>
          <cell r="J328">
            <v>39405</v>
          </cell>
          <cell r="K328">
            <v>39660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110</v>
          </cell>
          <cell r="E406">
            <v>75</v>
          </cell>
          <cell r="F406">
            <v>185</v>
          </cell>
          <cell r="G406">
            <v>60</v>
          </cell>
          <cell r="H406">
            <v>55</v>
          </cell>
          <cell r="I406">
            <v>140</v>
          </cell>
          <cell r="J406">
            <v>10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5</v>
          </cell>
          <cell r="C409">
            <v>0</v>
          </cell>
          <cell r="D409">
            <v>0</v>
          </cell>
          <cell r="E409">
            <v>640</v>
          </cell>
        </row>
      </sheetData>
      <sheetData sheetId="9">
        <row r="5">
          <cell r="L5">
            <v>840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69">
          <cell r="A69" t="str">
            <v>Álgebra (08.1)</v>
          </cell>
          <cell r="E69">
            <v>4</v>
          </cell>
          <cell r="F69">
            <v>60</v>
          </cell>
          <cell r="I69">
            <v>10</v>
          </cell>
          <cell r="J69">
            <v>9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10</v>
          </cell>
          <cell r="J74">
            <v>9</v>
          </cell>
          <cell r="K74">
            <v>0</v>
          </cell>
          <cell r="L74">
            <v>1</v>
          </cell>
          <cell r="O74">
            <v>1</v>
          </cell>
        </row>
        <row r="104">
          <cell r="L104">
            <v>0</v>
          </cell>
        </row>
        <row r="110">
          <cell r="A110" t="str">
            <v>José Eder Salvador de Vasconcelos</v>
          </cell>
        </row>
        <row r="114">
          <cell r="G114">
            <v>39508</v>
          </cell>
          <cell r="H114">
            <v>40237</v>
          </cell>
        </row>
        <row r="136">
          <cell r="L136">
            <v>80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150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publico prof. Assistente- Universidade F. Recôncavo da Bahia</v>
          </cell>
          <cell r="H271" t="str">
            <v>Cruz das Almas- Bahia</v>
          </cell>
          <cell r="K271">
            <v>39605.083333333336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publico prof. Assistente- Universidade Federal de Sergipe</v>
          </cell>
          <cell r="H274" t="str">
            <v>Itabaiana- Sergipe</v>
          </cell>
          <cell r="K274">
            <v>39568</v>
          </cell>
        </row>
        <row r="275">
          <cell r="B275" t="str">
            <v>Banca examinadora de concurso público para professor do ensino superior</v>
          </cell>
        </row>
        <row r="277">
          <cell r="A277" t="str">
            <v>Comissão Examinadora da Tese de Rex Antonio da Costa Medeiros</v>
          </cell>
          <cell r="H277" t="str">
            <v>UAEE do CEEI - UFCG</v>
          </cell>
          <cell r="K277">
            <v>39577</v>
          </cell>
        </row>
        <row r="291">
          <cell r="L291">
            <v>100</v>
          </cell>
        </row>
        <row r="295">
          <cell r="A295" t="str">
            <v>Diretor do Centro de Ciências e Tecnologia da UFCG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390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60</v>
          </cell>
          <cell r="F406">
            <v>60</v>
          </cell>
          <cell r="G406">
            <v>0</v>
          </cell>
          <cell r="H406">
            <v>80</v>
          </cell>
          <cell r="I406">
            <v>150</v>
          </cell>
          <cell r="J406">
            <v>0</v>
          </cell>
          <cell r="K406">
            <v>0</v>
          </cell>
          <cell r="L406">
            <v>100</v>
          </cell>
        </row>
        <row r="409">
          <cell r="A409">
            <v>390</v>
          </cell>
          <cell r="B409">
            <v>0</v>
          </cell>
          <cell r="C409">
            <v>0</v>
          </cell>
          <cell r="D409">
            <v>0</v>
          </cell>
          <cell r="E409">
            <v>840</v>
          </cell>
        </row>
      </sheetData>
      <sheetData sheetId="10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de São Paulo - USP-São Carlos</v>
          </cell>
          <cell r="I19">
            <v>39454</v>
          </cell>
          <cell r="J19">
            <v>39819</v>
          </cell>
          <cell r="K19" t="str">
            <v>Port. SRH/2854/2007</v>
          </cell>
        </row>
        <row r="21">
          <cell r="A21" t="str">
            <v>Pós-Doutorado em Matemática 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Luciana Roze de Freitas </v>
          </cell>
        </row>
        <row r="112">
          <cell r="A112" t="str">
            <v>A definir </v>
          </cell>
        </row>
        <row r="114">
          <cell r="G114">
            <v>39142</v>
          </cell>
          <cell r="H114">
            <v>40603</v>
          </cell>
        </row>
        <row r="117">
          <cell r="A117" t="str">
            <v>Jéssica Lange Ferreira Melo</v>
          </cell>
        </row>
        <row r="119">
          <cell r="A119" t="str">
            <v>A definir </v>
          </cell>
          <cell r="J119" t="str">
            <v>CNPq</v>
          </cell>
        </row>
        <row r="121">
          <cell r="G121">
            <v>39508</v>
          </cell>
          <cell r="H121">
            <v>39845</v>
          </cell>
        </row>
        <row r="136">
          <cell r="L136">
            <v>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Coordenador</v>
          </cell>
          <cell r="J142">
            <v>39144</v>
          </cell>
          <cell r="K142">
            <v>39874</v>
          </cell>
        </row>
        <row r="144">
          <cell r="A144">
            <v>185823.86</v>
          </cell>
          <cell r="D144">
            <v>185823.86</v>
          </cell>
          <cell r="G144">
            <v>87323</v>
          </cell>
          <cell r="J144">
            <v>98500.86</v>
          </cell>
        </row>
        <row r="147">
          <cell r="A147" t="str">
            <v>Pesquisa em Equações Diferenciais Elípticas: Soluções Mult-Bump</v>
          </cell>
          <cell r="I147" t="str">
            <v>CNPq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Projeto Universal CNPq 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</row>
        <row r="161">
          <cell r="A161" t="str">
            <v>Existência, perfil e concentração de soluções para uma classe de problemas elípticos. </v>
          </cell>
          <cell r="I161" t="str">
            <v>CNPq</v>
          </cell>
          <cell r="K161" t="str">
            <v>Em andamento</v>
          </cell>
        </row>
        <row r="163">
          <cell r="A163" t="str">
            <v>Análise/EDP</v>
          </cell>
          <cell r="H163" t="str">
            <v>Coordenador</v>
          </cell>
          <cell r="J163">
            <v>39142</v>
          </cell>
          <cell r="K163">
            <v>39845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Alves, C. O., Existence of positive solution for a degenerate p(x)-Laplacian equation in RN, Journal of Mathematical Analysis and Applications, v. 345, p. 731-742, 2008. 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Participação na banca  de Gustavo Ferron Madeira. Um problema parabólico com condição de fronteira não-linear e peso indefinido:existência, regularidade, bifurcação e estabilidade de equilíbrios 2008. TESE (Doutorado em Matemática)  </v>
          </cell>
          <cell r="H271" t="str">
            <v>UFSCar</v>
          </cell>
          <cell r="K271">
            <v>39588</v>
          </cell>
        </row>
        <row r="272">
          <cell r="B272" t="str">
            <v>Banca examinadora de tese</v>
          </cell>
        </row>
        <row r="274">
          <cell r="A274" t="str">
            <v>Participação na banca  de Luiz Fernando de Oliveira Faria Equações elípticas comdepência não linear do gradiente 2008. TESE ( Doutorado em Matemática ) </v>
          </cell>
          <cell r="K274">
            <v>39644</v>
          </cell>
        </row>
        <row r="275">
          <cell r="B275" t="str">
            <v>Banca examinadora de tese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</row>
        <row r="314">
          <cell r="A314" t="str">
            <v>Coord. do Projeto Eq. Dif.  Aplicadas e Álgebra com Identidades Polinomiais</v>
          </cell>
          <cell r="H314" t="str">
            <v>E-mail CNPq</v>
          </cell>
          <cell r="J314">
            <v>39144</v>
          </cell>
          <cell r="K314">
            <v>39874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Pesquisa em problemas elipticos com crescimento critico exponencial</v>
          </cell>
          <cell r="J346">
            <v>39114</v>
          </cell>
        </row>
        <row r="347">
          <cell r="A347" t="str">
            <v>Pesquisa em problemas elipticos com funcional Localmente Lipschitziano</v>
          </cell>
          <cell r="J347">
            <v>39114</v>
          </cell>
        </row>
        <row r="348">
          <cell r="A348" t="str">
            <v>Part. no Progr. Interdepartamental de Tec. em Petr. e Gás  ANP/PRH-25</v>
          </cell>
          <cell r="J348">
            <v>37288</v>
          </cell>
        </row>
        <row r="349">
          <cell r="A349" t="str">
            <v>Líder do Grupo de Pesquisa do CNPq - Equações Diferenciais Parciais/UFCG</v>
          </cell>
        </row>
        <row r="350">
          <cell r="A350" t="str">
            <v> Membro do corpo editorial da revista Differential Equations and Applications (DEA).</v>
          </cell>
          <cell r="J350">
            <v>39600</v>
          </cell>
        </row>
        <row r="353">
          <cell r="L353">
            <v>0</v>
          </cell>
        </row>
        <row r="406">
          <cell r="A406">
            <v>840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840</v>
          </cell>
        </row>
      </sheetData>
      <sheetData sheetId="11">
        <row r="5">
          <cell r="L5">
            <v>840</v>
          </cell>
        </row>
        <row r="6">
          <cell r="L6">
            <v>800</v>
          </cell>
        </row>
        <row r="8">
          <cell r="L8">
            <v>820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Tópicos da História da Matemática - T 01</v>
          </cell>
          <cell r="E57">
            <v>4</v>
          </cell>
          <cell r="F57">
            <v>30</v>
          </cell>
          <cell r="I57">
            <v>8</v>
          </cell>
          <cell r="J57">
            <v>3</v>
          </cell>
          <cell r="K57">
            <v>5</v>
          </cell>
          <cell r="L57">
            <v>0</v>
          </cell>
        </row>
        <row r="62">
          <cell r="E62">
            <v>4</v>
          </cell>
          <cell r="F62">
            <v>30</v>
          </cell>
          <cell r="G62">
            <v>60</v>
          </cell>
          <cell r="I62">
            <v>8</v>
          </cell>
          <cell r="J62">
            <v>3</v>
          </cell>
          <cell r="K62">
            <v>5</v>
          </cell>
          <cell r="L62">
            <v>0</v>
          </cell>
          <cell r="O62">
            <v>1</v>
          </cell>
        </row>
        <row r="69">
          <cell r="A69" t="str">
            <v>Análise no RN (08.1)</v>
          </cell>
          <cell r="E69">
            <v>3.3</v>
          </cell>
          <cell r="F69">
            <v>50</v>
          </cell>
          <cell r="I69">
            <v>12</v>
          </cell>
          <cell r="J69">
            <v>10</v>
          </cell>
          <cell r="K69">
            <v>0</v>
          </cell>
          <cell r="L69">
            <v>2</v>
          </cell>
        </row>
        <row r="74">
          <cell r="E74">
            <v>3.3</v>
          </cell>
          <cell r="F74">
            <v>50</v>
          </cell>
          <cell r="G74">
            <v>60</v>
          </cell>
          <cell r="I74">
            <v>12</v>
          </cell>
          <cell r="J74">
            <v>10</v>
          </cell>
          <cell r="K74">
            <v>0</v>
          </cell>
          <cell r="L74">
            <v>2</v>
          </cell>
          <cell r="O74">
            <v>1</v>
          </cell>
        </row>
        <row r="78">
          <cell r="A78" t="str">
            <v>Aline Barbosa Tsuyuguchi (Co-orientação Prof. Jesualdo)</v>
          </cell>
        </row>
        <row r="80">
          <cell r="A80" t="str">
            <v>Teoria Analítica dos Números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104">
          <cell r="L104">
            <v>0</v>
          </cell>
        </row>
        <row r="110">
          <cell r="A110" t="str">
            <v>Jackson Jonas Silva Costa</v>
          </cell>
        </row>
        <row r="112">
          <cell r="A112" t="str">
            <v>ESTUDOS EM EDP´S ELÍPTICAS</v>
          </cell>
        </row>
        <row r="114">
          <cell r="G114">
            <v>39661</v>
          </cell>
        </row>
        <row r="136">
          <cell r="L136">
            <v>20</v>
          </cell>
        </row>
        <row r="140">
          <cell r="A140" t="str">
            <v>Estudos em EDP Elípticas</v>
          </cell>
          <cell r="I140" t="str">
            <v>CNPq</v>
          </cell>
          <cell r="K140" t="str">
            <v>Em andamento</v>
          </cell>
        </row>
        <row r="142">
          <cell r="H142" t="str">
            <v>Coordenador</v>
          </cell>
          <cell r="J142">
            <v>38777</v>
          </cell>
        </row>
        <row r="147">
          <cell r="A147" t="str">
            <v>Projeto Universal CNPq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Coordenador</v>
          </cell>
          <cell r="J149">
            <v>39114</v>
          </cell>
          <cell r="K149">
            <v>39844</v>
          </cell>
        </row>
        <row r="151">
          <cell r="A151">
            <v>17634</v>
          </cell>
          <cell r="D151">
            <v>17634</v>
          </cell>
          <cell r="G151">
            <v>10334</v>
          </cell>
          <cell r="J151">
            <v>7300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Análise/Equações Diferenciais Parciais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260</v>
          </cell>
        </row>
        <row r="171">
          <cell r="A171" t="str">
            <v>COORDENADOR DO CAPMEM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H173" t="str">
            <v>Coordenador</v>
          </cell>
        </row>
        <row r="196">
          <cell r="L196">
            <v>80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67">
          <cell r="L267">
            <v>5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Coordenador Geral do Programa Institucional de Bolsas de Incentivo 'a Docência  _PIBIB no âmbito da UFCG</v>
          </cell>
          <cell r="H306" t="str">
            <v>Port. GR/31/2008</v>
          </cell>
          <cell r="J306">
            <v>39525</v>
          </cell>
          <cell r="K306">
            <v>41091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20">
          <cell r="L320">
            <v>100</v>
          </cell>
        </row>
        <row r="324">
          <cell r="A324" t="str">
            <v>Graduação em Matemática </v>
          </cell>
          <cell r="H324" t="str">
            <v>Port./UAME/023/2007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Port./UMAE/026/2007</v>
          </cell>
          <cell r="J328">
            <v>39209</v>
          </cell>
        </row>
        <row r="329">
          <cell r="B329" t="str">
            <v>Participação em conselhos superiores como suplente</v>
          </cell>
        </row>
        <row r="342">
          <cell r="L342">
            <v>25</v>
          </cell>
        </row>
        <row r="346">
          <cell r="A346" t="str">
            <v>Pesquisador do Instituto do Milênio em Matemática, IM-AGIMB.</v>
          </cell>
          <cell r="J346">
            <v>38112</v>
          </cell>
        </row>
        <row r="348">
          <cell r="A348" t="str">
            <v>Preparação do livro ``Manual de Redação Matemática''</v>
          </cell>
        </row>
        <row r="349">
          <cell r="A349" t="str">
            <v>Preparação da terceira edição do livro ``Um convite 'a Matemática''</v>
          </cell>
          <cell r="J349">
            <v>39326</v>
          </cell>
        </row>
        <row r="353">
          <cell r="L353">
            <v>130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30</v>
          </cell>
          <cell r="E406">
            <v>50</v>
          </cell>
          <cell r="F406">
            <v>120</v>
          </cell>
          <cell r="G406">
            <v>0</v>
          </cell>
          <cell r="H406">
            <v>20</v>
          </cell>
          <cell r="I406">
            <v>260</v>
          </cell>
          <cell r="J406">
            <v>80</v>
          </cell>
          <cell r="K406">
            <v>5</v>
          </cell>
          <cell r="L406">
            <v>0</v>
          </cell>
        </row>
        <row r="409">
          <cell r="A409">
            <v>0</v>
          </cell>
          <cell r="B409">
            <v>100</v>
          </cell>
          <cell r="C409">
            <v>25</v>
          </cell>
          <cell r="D409">
            <v>130</v>
          </cell>
          <cell r="E409">
            <v>820</v>
          </cell>
        </row>
      </sheetData>
      <sheetData sheetId="12">
        <row r="5">
          <cell r="L5">
            <v>840</v>
          </cell>
        </row>
        <row r="6">
          <cell r="L6">
            <v>800</v>
          </cell>
        </row>
        <row r="8">
          <cell r="L8">
            <v>680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Grupo de estudos</v>
          </cell>
          <cell r="K36">
            <v>38970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60</v>
          </cell>
          <cell r="J57">
            <v>18</v>
          </cell>
          <cell r="K57">
            <v>10</v>
          </cell>
          <cell r="L57">
            <v>32</v>
          </cell>
        </row>
        <row r="58">
          <cell r="A58" t="str">
            <v>Fundamentos da Geometria Euclidiana - T 01</v>
          </cell>
          <cell r="E58">
            <v>5</v>
          </cell>
          <cell r="F58">
            <v>90</v>
          </cell>
          <cell r="I58">
            <v>14</v>
          </cell>
          <cell r="J58">
            <v>13</v>
          </cell>
          <cell r="K58">
            <v>1</v>
          </cell>
          <cell r="L58">
            <v>0</v>
          </cell>
        </row>
        <row r="62">
          <cell r="E62">
            <v>11</v>
          </cell>
          <cell r="F62">
            <v>180</v>
          </cell>
          <cell r="G62">
            <v>360</v>
          </cell>
          <cell r="I62">
            <v>74</v>
          </cell>
          <cell r="J62">
            <v>31</v>
          </cell>
          <cell r="K62">
            <v>11</v>
          </cell>
          <cell r="L62">
            <v>32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Pedro Augusto Guedes de França </v>
          </cell>
        </row>
        <row r="80">
          <cell r="A80" t="str">
            <v>Projeto monitoria 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39573</v>
          </cell>
          <cell r="H82">
            <v>39682</v>
          </cell>
        </row>
        <row r="104">
          <cell r="L104">
            <v>32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Comissão de Seleção para Processo Seletivo do Programa de Bolsas REUNI </v>
          </cell>
          <cell r="H271" t="str">
            <v>UFCG</v>
          </cell>
          <cell r="K271">
            <v>39598</v>
          </cell>
        </row>
        <row r="291">
          <cell r="L291">
            <v>2</v>
          </cell>
        </row>
        <row r="298">
          <cell r="L298">
            <v>0</v>
          </cell>
        </row>
        <row r="302">
          <cell r="A302" t="str">
            <v>Sub-Coordenadora do LAPEM</v>
          </cell>
          <cell r="H302" t="str">
            <v>Port./UAME/33/2007  13/09/07    13/09/09</v>
          </cell>
          <cell r="J302">
            <v>39338</v>
          </cell>
          <cell r="K302">
            <v>40069</v>
          </cell>
        </row>
        <row r="320">
          <cell r="L320">
            <v>40</v>
          </cell>
        </row>
        <row r="324">
          <cell r="A324" t="str">
            <v>Graduação em Engenharia Química</v>
          </cell>
          <cell r="H324" t="str">
            <v>Port./UAME/008/2007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Port./UAME/012/2007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6</v>
          </cell>
        </row>
        <row r="346">
          <cell r="A346" t="str">
            <v>Estudo do material da Experimentoteca da USP-São Carlos  </v>
          </cell>
          <cell r="J346">
            <v>39567</v>
          </cell>
        </row>
        <row r="353">
          <cell r="L353">
            <v>60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32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2</v>
          </cell>
        </row>
        <row r="409">
          <cell r="A409">
            <v>0</v>
          </cell>
          <cell r="B409">
            <v>40</v>
          </cell>
          <cell r="C409">
            <v>6</v>
          </cell>
          <cell r="D409">
            <v>60</v>
          </cell>
          <cell r="E409">
            <v>680</v>
          </cell>
        </row>
      </sheetData>
      <sheetData sheetId="13">
        <row r="5">
          <cell r="L5">
            <v>840</v>
          </cell>
        </row>
        <row r="6">
          <cell r="L6">
            <v>800</v>
          </cell>
        </row>
        <row r="8">
          <cell r="L8">
            <v>824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Aplicada às Ciências Sociais I - T 01</v>
          </cell>
          <cell r="E57">
            <v>4</v>
          </cell>
          <cell r="F57">
            <v>60</v>
          </cell>
          <cell r="I57">
            <v>33</v>
          </cell>
          <cell r="J57">
            <v>28</v>
          </cell>
          <cell r="K57">
            <v>2</v>
          </cell>
          <cell r="L57">
            <v>3</v>
          </cell>
        </row>
        <row r="58">
          <cell r="A58" t="str">
            <v>Inferência Estatística - T 01</v>
          </cell>
          <cell r="E58">
            <v>4</v>
          </cell>
          <cell r="F58">
            <v>60</v>
          </cell>
          <cell r="I58">
            <v>47</v>
          </cell>
          <cell r="J58">
            <v>29</v>
          </cell>
          <cell r="K58">
            <v>9</v>
          </cell>
          <cell r="L58">
            <v>9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80</v>
          </cell>
          <cell r="J62">
            <v>57</v>
          </cell>
          <cell r="K62">
            <v>11</v>
          </cell>
          <cell r="L62">
            <v>12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Damares Pereira Monteiro</v>
          </cell>
        </row>
        <row r="80">
          <cell r="A80" t="str">
            <v>Análise de Risco Estocástica na Perfuração e Completação de Poços Petrolíferos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39569</v>
          </cell>
        </row>
        <row r="85">
          <cell r="A85" t="str">
            <v>Maria de Sousa Leite Filha</v>
          </cell>
        </row>
        <row r="87">
          <cell r="A87" t="str">
            <v>Estudo de Técnicas de Análise de Risco Aplicadas no Desenvolvimento de Campos de Petróleo</v>
          </cell>
          <cell r="J87" t="str">
            <v>ANP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</row>
        <row r="104">
          <cell r="L104">
            <v>120</v>
          </cell>
        </row>
        <row r="136">
          <cell r="L136">
            <v>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36528</v>
          </cell>
        </row>
        <row r="166">
          <cell r="L166">
            <v>40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Banca de dissertação de mestrado de José Iraponil Costa Lima</v>
          </cell>
          <cell r="H271" t="str">
            <v>UFCG</v>
          </cell>
          <cell r="K271">
            <v>39703</v>
          </cell>
        </row>
        <row r="272">
          <cell r="B272" t="str">
            <v>Banca examinadora de dissertação</v>
          </cell>
        </row>
        <row r="291">
          <cell r="L291">
            <v>16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  <cell r="K310">
            <v>39722</v>
          </cell>
        </row>
        <row r="320">
          <cell r="L320">
            <v>300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8</v>
          </cell>
        </row>
        <row r="346">
          <cell r="A346" t="str">
            <v>Presidente da Comissão para Elaboração do Projeto Pedagógico do Curso de Engenharia do Petróleo</v>
          </cell>
          <cell r="J346">
            <v>39563</v>
          </cell>
          <cell r="K346">
            <v>39696</v>
          </cell>
        </row>
        <row r="353">
          <cell r="L353">
            <v>100</v>
          </cell>
        </row>
        <row r="358">
          <cell r="A358" t="str">
            <v>4º Encontro de Processos Estocásticos Especiais</v>
          </cell>
          <cell r="I358">
            <v>39608</v>
          </cell>
          <cell r="J358">
            <v>39610</v>
          </cell>
          <cell r="K358" t="str">
            <v>UFCG</v>
          </cell>
          <cell r="L358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120</v>
          </cell>
          <cell r="H406">
            <v>0</v>
          </cell>
          <cell r="I406">
            <v>40</v>
          </cell>
          <cell r="J406">
            <v>0</v>
          </cell>
          <cell r="K406">
            <v>0</v>
          </cell>
          <cell r="L406">
            <v>16</v>
          </cell>
        </row>
        <row r="409">
          <cell r="A409">
            <v>0</v>
          </cell>
          <cell r="B409">
            <v>300</v>
          </cell>
          <cell r="C409">
            <v>8</v>
          </cell>
          <cell r="D409">
            <v>100</v>
          </cell>
          <cell r="E409">
            <v>824</v>
          </cell>
        </row>
      </sheetData>
      <sheetData sheetId="14">
        <row r="5">
          <cell r="L5">
            <v>840</v>
          </cell>
        </row>
        <row r="6">
          <cell r="L6">
            <v>800</v>
          </cell>
        </row>
        <row r="8">
          <cell r="L8">
            <v>638</v>
          </cell>
        </row>
        <row r="13">
          <cell r="C13" t="str">
            <v>Francisco Júlio Sobreira de A. Corrêa</v>
          </cell>
          <cell r="J13" t="str">
            <v>6330863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39372</v>
          </cell>
          <cell r="E15" t="str">
            <v>Redistr.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Métodos Variacionais</v>
          </cell>
          <cell r="F36" t="str">
            <v>Seminário Interno</v>
          </cell>
          <cell r="K36">
            <v>39569</v>
          </cell>
          <cell r="L36" t="str">
            <v>31/08?2008</v>
          </cell>
        </row>
        <row r="38">
          <cell r="A38" t="str">
            <v>Seminário com o Prof. Marcelo Carvalho Ferreira</v>
          </cell>
        </row>
        <row r="51">
          <cell r="L51">
            <v>20</v>
          </cell>
        </row>
        <row r="57">
          <cell r="A57" t="str">
            <v>Análise II - T 01</v>
          </cell>
          <cell r="E57">
            <v>4</v>
          </cell>
          <cell r="F57">
            <v>60</v>
          </cell>
          <cell r="I57">
            <v>11</v>
          </cell>
          <cell r="J57">
            <v>7</v>
          </cell>
          <cell r="K57">
            <v>4</v>
          </cell>
          <cell r="L57">
            <v>0</v>
          </cell>
        </row>
        <row r="58">
          <cell r="A58" t="str">
            <v>Cálculo Diferencial e Integral I - T 07</v>
          </cell>
          <cell r="E58">
            <v>6</v>
          </cell>
          <cell r="F58">
            <v>90</v>
          </cell>
          <cell r="I58">
            <v>60</v>
          </cell>
          <cell r="J58">
            <v>12</v>
          </cell>
          <cell r="K58">
            <v>18</v>
          </cell>
          <cell r="L58">
            <v>30</v>
          </cell>
        </row>
        <row r="62">
          <cell r="E62">
            <v>10</v>
          </cell>
          <cell r="F62">
            <v>150</v>
          </cell>
          <cell r="G62">
            <v>210</v>
          </cell>
          <cell r="I62">
            <v>71</v>
          </cell>
          <cell r="J62">
            <v>19</v>
          </cell>
          <cell r="K62">
            <v>22</v>
          </cell>
          <cell r="L62">
            <v>30</v>
          </cell>
          <cell r="O62">
            <v>2</v>
          </cell>
        </row>
        <row r="69">
          <cell r="A69" t="str">
            <v>Topologia dos Espaços Métricos</v>
          </cell>
          <cell r="E69">
            <v>2</v>
          </cell>
          <cell r="F69">
            <v>34</v>
          </cell>
          <cell r="I69">
            <v>8</v>
          </cell>
          <cell r="J69">
            <v>8</v>
          </cell>
          <cell r="K69">
            <v>0</v>
          </cell>
          <cell r="L69">
            <v>0</v>
          </cell>
        </row>
        <row r="74">
          <cell r="E74">
            <v>2</v>
          </cell>
          <cell r="F74">
            <v>34</v>
          </cell>
          <cell r="G74">
            <v>90</v>
          </cell>
          <cell r="I74">
            <v>8</v>
          </cell>
          <cell r="J74">
            <v>8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Israel Buriti Galvão</v>
          </cell>
        </row>
        <row r="80">
          <cell r="A80" t="str">
            <v>Equações Diferenciais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40024</v>
          </cell>
        </row>
        <row r="104">
          <cell r="L104">
            <v>10</v>
          </cell>
        </row>
        <row r="110">
          <cell r="A110" t="str">
            <v>Francisca Leidmar Josué Vieira</v>
          </cell>
        </row>
        <row r="112">
          <cell r="A112" t="str">
            <v>Soluções Esatcionárias de Sistemas de Reação-Difusão</v>
          </cell>
          <cell r="J112" t="str">
            <v>CAPES</v>
          </cell>
        </row>
        <row r="114">
          <cell r="G114">
            <v>39661</v>
          </cell>
          <cell r="H114">
            <v>39872</v>
          </cell>
        </row>
        <row r="136">
          <cell r="L136">
            <v>20</v>
          </cell>
        </row>
        <row r="140">
          <cell r="A140" t="str">
            <v>Existência e Multiplicidade de Soluções de Problemas Elípticos Não-Locais, Singulares e Descontínuos</v>
          </cell>
          <cell r="I140" t="str">
            <v>CNPq</v>
          </cell>
          <cell r="K140" t="str">
            <v>Em andamento</v>
          </cell>
        </row>
        <row r="142">
          <cell r="A142" t="str">
            <v>Equações Diferenciais Parciais Elípticas</v>
          </cell>
          <cell r="H142" t="str">
            <v>Coordenador</v>
          </cell>
          <cell r="J142">
            <v>39372</v>
          </cell>
        </row>
        <row r="166">
          <cell r="L166">
            <v>100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Pós-Graduação em Matemática</v>
          </cell>
          <cell r="J324">
            <v>39448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4</v>
          </cell>
        </row>
        <row r="353">
          <cell r="L353">
            <v>0</v>
          </cell>
        </row>
        <row r="389">
          <cell r="A389" t="str">
            <v>UFPA</v>
          </cell>
          <cell r="H389" t="str">
            <v>Instituto do Milênio</v>
          </cell>
          <cell r="K389">
            <v>39589</v>
          </cell>
          <cell r="L389">
            <v>39598</v>
          </cell>
        </row>
        <row r="390">
          <cell r="C390" t="str">
            <v>Pesquisa com o Prof. Giovany Figueiredo e Rúbia Nascimento, ambos da Universidade Federal do Pará.</v>
          </cell>
        </row>
        <row r="406">
          <cell r="A406">
            <v>0</v>
          </cell>
          <cell r="B406">
            <v>0</v>
          </cell>
          <cell r="C406">
            <v>20</v>
          </cell>
          <cell r="D406">
            <v>150</v>
          </cell>
          <cell r="E406">
            <v>34</v>
          </cell>
          <cell r="F406">
            <v>300</v>
          </cell>
          <cell r="G406">
            <v>10</v>
          </cell>
          <cell r="H406">
            <v>20</v>
          </cell>
          <cell r="I406">
            <v>100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4</v>
          </cell>
          <cell r="D409">
            <v>0</v>
          </cell>
          <cell r="E409">
            <v>638</v>
          </cell>
        </row>
      </sheetData>
      <sheetData sheetId="15">
        <row r="5">
          <cell r="L5">
            <v>840</v>
          </cell>
        </row>
        <row r="6">
          <cell r="L6">
            <v>800</v>
          </cell>
        </row>
        <row r="8">
          <cell r="L8">
            <v>824</v>
          </cell>
        </row>
        <row r="13">
          <cell r="C13" t="str">
            <v>Gilberto da Silva Matos</v>
          </cell>
          <cell r="J13" t="str">
            <v>1350510-4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Curso de doutorado vinculado a UFCG ou não</v>
          </cell>
          <cell r="K36">
            <v>39507</v>
          </cell>
          <cell r="L36">
            <v>39802</v>
          </cell>
        </row>
        <row r="38">
          <cell r="A38" t="str">
            <v>Desenvolvimento da Tese de Doutorado IME/USP</v>
          </cell>
        </row>
        <row r="40">
          <cell r="A40" t="str">
            <v>UFCG e UFC</v>
          </cell>
          <cell r="F40" t="str">
            <v>Grupo de estudos</v>
          </cell>
          <cell r="K40">
            <v>39672</v>
          </cell>
          <cell r="L40">
            <v>39674</v>
          </cell>
        </row>
        <row r="42">
          <cell r="A42" t="str">
            <v>Estudo de artigos relacionados à influência local condicional junto ao grupo de pesquisa de regressão.</v>
          </cell>
        </row>
        <row r="51">
          <cell r="L51">
            <v>412</v>
          </cell>
        </row>
        <row r="57">
          <cell r="A57" t="str">
            <v>Métodos Quantitativos III - T 01</v>
          </cell>
          <cell r="E57">
            <v>4</v>
          </cell>
          <cell r="F57">
            <v>60</v>
          </cell>
          <cell r="I57">
            <v>26</v>
          </cell>
          <cell r="J57">
            <v>11</v>
          </cell>
          <cell r="K57">
            <v>13</v>
          </cell>
          <cell r="L57">
            <v>2</v>
          </cell>
        </row>
        <row r="58">
          <cell r="A58" t="str">
            <v>Pesquisa Operacional - T 01</v>
          </cell>
          <cell r="E58">
            <v>4</v>
          </cell>
          <cell r="F58">
            <v>60</v>
          </cell>
          <cell r="I58">
            <v>48</v>
          </cell>
          <cell r="J58">
            <v>46</v>
          </cell>
          <cell r="K58">
            <v>2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74</v>
          </cell>
          <cell r="J62">
            <v>57</v>
          </cell>
          <cell r="K62">
            <v>15</v>
          </cell>
          <cell r="L62">
            <v>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Baptista de Assis</v>
          </cell>
        </row>
        <row r="80">
          <cell r="A80" t="str">
            <v>Modelos Birbaum Saunder generalizados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104">
          <cell r="L104">
            <v>16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Prof. Substituto na área de Estatística.</v>
          </cell>
          <cell r="H271" t="str">
            <v>UAME/UFCG</v>
          </cell>
          <cell r="K271">
            <v>39615</v>
          </cell>
        </row>
        <row r="272">
          <cell r="B272" t="str">
            <v>Banca examinadora de concurso público para professor temporário</v>
          </cell>
        </row>
        <row r="291">
          <cell r="L291">
            <v>12</v>
          </cell>
        </row>
        <row r="298">
          <cell r="L298">
            <v>0</v>
          </cell>
        </row>
        <row r="302">
          <cell r="A302" t="str">
            <v>Coordenador da área de Estatística junto à UAME/UFCG</v>
          </cell>
          <cell r="J302">
            <v>39630</v>
          </cell>
          <cell r="K302">
            <v>39995</v>
          </cell>
        </row>
        <row r="306">
          <cell r="A306" t="str">
            <v>Participação na Comissão de elaboração do PPC de Estatística.</v>
          </cell>
          <cell r="H306" t="str">
            <v>Port. DCCT/78/08</v>
          </cell>
          <cell r="J306">
            <v>39650</v>
          </cell>
          <cell r="K306">
            <v>39753</v>
          </cell>
        </row>
        <row r="320">
          <cell r="L320">
            <v>20</v>
          </cell>
        </row>
        <row r="324">
          <cell r="A324" t="str">
            <v>Membro titular do colegiado do curso da graduação da ciência da computação</v>
          </cell>
          <cell r="H324" t="str">
            <v>Port. 012/2008/UAME/CCT/UFCG</v>
          </cell>
          <cell r="J324">
            <v>39567</v>
          </cell>
          <cell r="K324">
            <v>39932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4</v>
          </cell>
        </row>
        <row r="353">
          <cell r="L353">
            <v>0</v>
          </cell>
        </row>
        <row r="365">
          <cell r="A365" t="str">
            <v>4o. Encontro de Processos Estocásticos Especiais - Campina Grande</v>
          </cell>
          <cell r="I365" t="str">
            <v>UFCG</v>
          </cell>
          <cell r="L365">
            <v>39608</v>
          </cell>
        </row>
        <row r="366">
          <cell r="A366" t="str">
            <v>Apresentação do seminário: Inferência bayesiana sobre um modelo multidimensional da Teoria de Resposta ao Item.</v>
          </cell>
        </row>
        <row r="406">
          <cell r="A406">
            <v>0</v>
          </cell>
          <cell r="B406">
            <v>0</v>
          </cell>
          <cell r="C406">
            <v>412</v>
          </cell>
          <cell r="D406">
            <v>120</v>
          </cell>
          <cell r="E406">
            <v>0</v>
          </cell>
          <cell r="F406">
            <v>240</v>
          </cell>
          <cell r="G406">
            <v>16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12</v>
          </cell>
        </row>
        <row r="409">
          <cell r="A409">
            <v>0</v>
          </cell>
          <cell r="B409">
            <v>20</v>
          </cell>
          <cell r="C409">
            <v>4</v>
          </cell>
          <cell r="D409">
            <v>0</v>
          </cell>
          <cell r="E409">
            <v>824</v>
          </cell>
        </row>
      </sheetData>
      <sheetData sheetId="16">
        <row r="5">
          <cell r="L5">
            <v>840</v>
          </cell>
        </row>
        <row r="6">
          <cell r="L6">
            <v>800</v>
          </cell>
        </row>
        <row r="8">
          <cell r="L8">
            <v>808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04</v>
          </cell>
          <cell r="E57">
            <v>4</v>
          </cell>
          <cell r="F57">
            <v>60</v>
          </cell>
          <cell r="I57">
            <v>60</v>
          </cell>
          <cell r="J57">
            <v>34</v>
          </cell>
          <cell r="K57">
            <v>10</v>
          </cell>
          <cell r="L57">
            <v>16</v>
          </cell>
        </row>
        <row r="58">
          <cell r="A58" t="str">
            <v>Álgebra Vetorial e Geometria Analítica - T 07</v>
          </cell>
          <cell r="E58">
            <v>4</v>
          </cell>
          <cell r="F58">
            <v>60</v>
          </cell>
          <cell r="I58">
            <v>60</v>
          </cell>
          <cell r="J58">
            <v>23</v>
          </cell>
          <cell r="K58">
            <v>11</v>
          </cell>
          <cell r="L58">
            <v>26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120</v>
          </cell>
          <cell r="J62">
            <v>57</v>
          </cell>
          <cell r="K62">
            <v>21</v>
          </cell>
          <cell r="L62">
            <v>42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Daniel Pinheiro Sobreira</v>
          </cell>
        </row>
        <row r="112">
          <cell r="A112" t="str">
            <v>O Teorema de Malgrange-Ehrenpreis</v>
          </cell>
          <cell r="J112" t="str">
            <v>CAPES</v>
          </cell>
        </row>
        <row r="114">
          <cell r="G114">
            <v>39295</v>
          </cell>
          <cell r="H114">
            <v>39645</v>
          </cell>
        </row>
        <row r="136">
          <cell r="L136">
            <v>40</v>
          </cell>
        </row>
        <row r="140">
          <cell r="A140" t="str">
            <v>Classificaçao de Hipersuperficies em Variedades Riemannianas</v>
          </cell>
          <cell r="K140" t="str">
            <v>Em andamento</v>
          </cell>
        </row>
        <row r="142">
          <cell r="A142" t="str">
            <v>Geometria Diferencial</v>
          </cell>
          <cell r="H142" t="str">
            <v>Coordenador</v>
          </cell>
          <cell r="J142">
            <v>39167</v>
          </cell>
        </row>
        <row r="147">
          <cell r="A147" t="str">
            <v>Hipersuperficies em Variedades de Lorentz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Coordenador</v>
          </cell>
          <cell r="J149">
            <v>39167</v>
          </cell>
        </row>
        <row r="154">
          <cell r="A154" t="str">
            <v>Propriedades das Curvaturas de Ordem Superior de Hipersuperfícies Tipo-Espaço</v>
          </cell>
          <cell r="I154" t="str">
            <v>FAPESQ</v>
          </cell>
          <cell r="K154" t="str">
            <v>Em andamento</v>
          </cell>
        </row>
        <row r="156">
          <cell r="A156" t="str">
            <v>Geometria Diferencial</v>
          </cell>
          <cell r="H156" t="str">
            <v>Coordenador</v>
          </cell>
          <cell r="J156">
            <v>39630</v>
          </cell>
        </row>
        <row r="166">
          <cell r="L166">
            <v>500</v>
          </cell>
        </row>
        <row r="196">
          <cell r="L196">
            <v>0</v>
          </cell>
        </row>
        <row r="200">
          <cell r="A200" t="str">
            <v>Lima, H. F. . A sharp height estimate for compact spacelike hypersurfaces with constant r-mean curvature in the Lorentz-Minkowski space. Differential Geometry and Its Applications, v. 26, p. 445-455, 2008. 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Exame de qualificação em geometriam doiutorado em matematica da UFC: Marco Antonio Lázaro Velásquez. </v>
          </cell>
          <cell r="H271" t="str">
            <v>UFC</v>
          </cell>
          <cell r="K271">
            <v>39509</v>
          </cell>
        </row>
        <row r="272">
          <cell r="B272" t="str">
            <v>Banca examinadora de exame de qualificação</v>
          </cell>
        </row>
        <row r="274">
          <cell r="A274" t="str">
            <v>Exame de qualificação em geometria, doutorado em matemática da UFC: Gleydson Chaves Ricarte</v>
          </cell>
          <cell r="H274" t="str">
            <v>UFC</v>
          </cell>
          <cell r="K274">
            <v>39510</v>
          </cell>
        </row>
        <row r="275">
          <cell r="B275" t="str">
            <v>Banca examinadora de exame de qualificação</v>
          </cell>
        </row>
        <row r="277">
          <cell r="A277" t="str">
            <v>Concurso para Professor Adjunto da UAME/CCT/UFCG</v>
          </cell>
          <cell r="H277" t="str">
            <v>UFCG</v>
          </cell>
          <cell r="K277">
            <v>39560</v>
          </cell>
        </row>
        <row r="278">
          <cell r="B278" t="str">
            <v>Banca examinadora de concurso público para professor do ensino superior</v>
          </cell>
        </row>
        <row r="291">
          <cell r="L291">
            <v>28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0</v>
          </cell>
          <cell r="H406">
            <v>40</v>
          </cell>
          <cell r="I406">
            <v>500</v>
          </cell>
          <cell r="J406">
            <v>0</v>
          </cell>
          <cell r="K406">
            <v>0</v>
          </cell>
          <cell r="L406">
            <v>28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808</v>
          </cell>
        </row>
      </sheetData>
      <sheetData sheetId="17">
        <row r="5">
          <cell r="L5">
            <v>840</v>
          </cell>
        </row>
        <row r="6">
          <cell r="L6">
            <v>800</v>
          </cell>
        </row>
        <row r="8">
          <cell r="L8">
            <v>775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para o Ensino da Matemática I - T 01</v>
          </cell>
          <cell r="E57">
            <v>4</v>
          </cell>
          <cell r="F57">
            <v>90</v>
          </cell>
          <cell r="I57">
            <v>8</v>
          </cell>
          <cell r="J57">
            <v>8</v>
          </cell>
          <cell r="K57">
            <v>0</v>
          </cell>
          <cell r="L57">
            <v>0</v>
          </cell>
        </row>
        <row r="58">
          <cell r="A58" t="str">
            <v>Prática para o Ensino da Matemática II - T 01</v>
          </cell>
          <cell r="E58">
            <v>4</v>
          </cell>
          <cell r="F58">
            <v>90</v>
          </cell>
          <cell r="I58">
            <v>15</v>
          </cell>
          <cell r="J58">
            <v>14</v>
          </cell>
          <cell r="K58">
            <v>1</v>
          </cell>
          <cell r="L58">
            <v>0</v>
          </cell>
        </row>
        <row r="62">
          <cell r="E62">
            <v>8</v>
          </cell>
          <cell r="F62">
            <v>180</v>
          </cell>
          <cell r="G62">
            <v>400</v>
          </cell>
          <cell r="I62">
            <v>23</v>
          </cell>
          <cell r="J62">
            <v>22</v>
          </cell>
          <cell r="K62">
            <v>1</v>
          </cell>
          <cell r="L62">
            <v>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Port.UAME/33/2007</v>
          </cell>
          <cell r="J302">
            <v>39338</v>
          </cell>
          <cell r="K302">
            <v>40069</v>
          </cell>
        </row>
        <row r="306">
          <cell r="A306" t="str">
            <v>Comissão de Avaliação Docente da UAME</v>
          </cell>
          <cell r="H306" t="str">
            <v>Port./UAME/02/2006</v>
          </cell>
          <cell r="J306">
            <v>38814</v>
          </cell>
        </row>
        <row r="320">
          <cell r="L320">
            <v>131</v>
          </cell>
        </row>
        <row r="324">
          <cell r="A324" t="str">
            <v>Graduação em Economia</v>
          </cell>
          <cell r="H324" t="str">
            <v>Port./UAME/013/2007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Port./UAME/019/2007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46">
          <cell r="A346" t="str">
            <v> Estudo do material da Experimentoteca da USP-São Carlos  </v>
          </cell>
          <cell r="J346">
            <v>39567</v>
          </cell>
        </row>
        <row r="353">
          <cell r="L353">
            <v>60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400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131</v>
          </cell>
          <cell r="C409">
            <v>4</v>
          </cell>
          <cell r="D409">
            <v>60</v>
          </cell>
          <cell r="E409">
            <v>775</v>
          </cell>
        </row>
      </sheetData>
      <sheetData sheetId="18">
        <row r="5">
          <cell r="L5">
            <v>840</v>
          </cell>
        </row>
        <row r="6">
          <cell r="L6">
            <v>800</v>
          </cell>
        </row>
        <row r="8">
          <cell r="L8">
            <v>811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02</v>
          </cell>
          <cell r="E57">
            <v>4</v>
          </cell>
          <cell r="F57">
            <v>60</v>
          </cell>
          <cell r="I57">
            <v>60</v>
          </cell>
          <cell r="J57">
            <v>33</v>
          </cell>
          <cell r="K57">
            <v>7</v>
          </cell>
          <cell r="L57">
            <v>20</v>
          </cell>
        </row>
        <row r="58">
          <cell r="A58" t="str">
            <v>Álgebra Vetorial e Geometria Analítica - T 09</v>
          </cell>
          <cell r="E58">
            <v>4</v>
          </cell>
          <cell r="F58">
            <v>60</v>
          </cell>
          <cell r="I58">
            <v>56</v>
          </cell>
          <cell r="J58">
            <v>20</v>
          </cell>
          <cell r="K58">
            <v>20</v>
          </cell>
          <cell r="L58">
            <v>16</v>
          </cell>
        </row>
        <row r="59">
          <cell r="A59" t="str">
            <v>Análise I - T 01</v>
          </cell>
          <cell r="E59">
            <v>4</v>
          </cell>
          <cell r="F59">
            <v>60</v>
          </cell>
          <cell r="I59">
            <v>12</v>
          </cell>
          <cell r="J59">
            <v>9</v>
          </cell>
          <cell r="K59">
            <v>2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390</v>
          </cell>
          <cell r="I62">
            <v>128</v>
          </cell>
          <cell r="J62">
            <v>62</v>
          </cell>
          <cell r="K62">
            <v>29</v>
          </cell>
          <cell r="L62">
            <v>37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Aline Barbosa Tsuyuguchi (Co-orientação Prof. Daniel Cordeiro)</v>
          </cell>
        </row>
        <row r="80">
          <cell r="A80" t="str">
            <v>Teoria Analítica dos Números</v>
          </cell>
          <cell r="J80" t="str">
            <v>CNPq</v>
          </cell>
          <cell r="L80" t="str">
            <v>Concluído</v>
          </cell>
        </row>
        <row r="82">
          <cell r="A82" t="str">
            <v>PIBIC</v>
          </cell>
          <cell r="G82">
            <v>39295</v>
          </cell>
          <cell r="H82" t="str">
            <v>31/07/08</v>
          </cell>
        </row>
        <row r="85">
          <cell r="A85" t="str">
            <v>Hélio Alves Clementino</v>
          </cell>
        </row>
        <row r="87">
          <cell r="A87" t="str">
            <v>Monitoria - Álgebra Vetorial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>
            <v>39560</v>
          </cell>
          <cell r="H89" t="str">
            <v>29/08/08</v>
          </cell>
        </row>
        <row r="92">
          <cell r="A92" t="str">
            <v>Diego Pereira Cavalcanti</v>
          </cell>
        </row>
        <row r="94">
          <cell r="A94" t="str">
            <v>Monitoria - Álgebra Vetorial</v>
          </cell>
          <cell r="J94" t="str">
            <v>UFCG</v>
          </cell>
          <cell r="L94" t="str">
            <v>Concluído</v>
          </cell>
        </row>
        <row r="96">
          <cell r="A96" t="str">
            <v>Monitoria</v>
          </cell>
          <cell r="G96">
            <v>39560</v>
          </cell>
          <cell r="H96" t="str">
            <v>29/08/08</v>
          </cell>
        </row>
        <row r="99">
          <cell r="A99" t="str">
            <v>Maria Wedna Gomes Pereira</v>
          </cell>
        </row>
        <row r="101">
          <cell r="A101" t="str">
            <v>PROLICEM 2008 - Projeto: Contextualizando a Matemática</v>
          </cell>
          <cell r="J101" t="str">
            <v>UFCG</v>
          </cell>
          <cell r="L101" t="str">
            <v>Em andamento</v>
          </cell>
        </row>
        <row r="103">
          <cell r="A103" t="str">
            <v>PROLICEN</v>
          </cell>
        </row>
        <row r="104">
          <cell r="L104">
            <v>150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Membro da equipe executora do PROLICEM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20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Membro da Comissão Assessora de Ensino da Administração Executiva Colegiada da UAME.</v>
          </cell>
          <cell r="J302">
            <v>39584</v>
          </cell>
        </row>
        <row r="320">
          <cell r="L320">
            <v>50</v>
          </cell>
        </row>
        <row r="324">
          <cell r="A324" t="str">
            <v>Membro Titular do Curso de Graduação em Engenharia de Materias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Membro suplente do Curso de Graduação em Engenharia Mecânica</v>
          </cell>
        </row>
        <row r="329">
          <cell r="B329" t="str">
            <v>Participação em Colegiado de Curso como membro suplente</v>
          </cell>
        </row>
        <row r="342">
          <cell r="L342">
            <v>1</v>
          </cell>
        </row>
        <row r="346">
          <cell r="A346" t="str">
            <v>Participação de reuniões departamentais</v>
          </cell>
        </row>
        <row r="347">
          <cell r="A347" t="str">
            <v>Aplicação e correção de provas (reposição e final), preenchimento do diário da turma 02 de análise I da Professora Bianca.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390</v>
          </cell>
          <cell r="G406">
            <v>150</v>
          </cell>
          <cell r="H406">
            <v>0</v>
          </cell>
          <cell r="I406">
            <v>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0</v>
          </cell>
          <cell r="B409">
            <v>50</v>
          </cell>
          <cell r="C409">
            <v>1</v>
          </cell>
          <cell r="D409">
            <v>20</v>
          </cell>
          <cell r="E409">
            <v>811</v>
          </cell>
        </row>
      </sheetData>
      <sheetData sheetId="19">
        <row r="5">
          <cell r="L5">
            <v>840</v>
          </cell>
        </row>
        <row r="6">
          <cell r="L6">
            <v>800</v>
          </cell>
        </row>
        <row r="8">
          <cell r="L8">
            <v>700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05</v>
          </cell>
          <cell r="E57">
            <v>4</v>
          </cell>
          <cell r="F57">
            <v>60</v>
          </cell>
          <cell r="I57">
            <v>22</v>
          </cell>
          <cell r="J57">
            <v>19</v>
          </cell>
          <cell r="K57">
            <v>3</v>
          </cell>
          <cell r="L57">
            <v>0</v>
          </cell>
        </row>
        <row r="58">
          <cell r="A58" t="str">
            <v>Fundamentos de Matemática Elementar I - T 01</v>
          </cell>
          <cell r="E58">
            <v>4</v>
          </cell>
          <cell r="F58">
            <v>60</v>
          </cell>
          <cell r="I58">
            <v>28</v>
          </cell>
          <cell r="J58">
            <v>17</v>
          </cell>
          <cell r="K58">
            <v>10</v>
          </cell>
          <cell r="L58">
            <v>1</v>
          </cell>
        </row>
        <row r="59">
          <cell r="A59" t="str">
            <v>Fundamentos de Matemática Elementar I - T 02</v>
          </cell>
          <cell r="E59">
            <v>4</v>
          </cell>
          <cell r="F59">
            <v>60</v>
          </cell>
          <cell r="I59">
            <v>20</v>
          </cell>
          <cell r="J59">
            <v>15</v>
          </cell>
          <cell r="K59">
            <v>5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70</v>
          </cell>
          <cell r="J62">
            <v>51</v>
          </cell>
          <cell r="K62">
            <v>18</v>
          </cell>
          <cell r="L62">
            <v>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João Paulo Formiga de Meneses</v>
          </cell>
        </row>
        <row r="80">
          <cell r="A80" t="str">
            <v>Iniciação às Equações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85">
          <cell r="A85" t="str">
            <v>Anderson Gleryston Silva Sousa</v>
          </cell>
        </row>
        <row r="87">
          <cell r="A87" t="str">
            <v>Olimpíada Campinense de Matemática</v>
          </cell>
          <cell r="J87" t="str">
            <v>UFCG</v>
          </cell>
          <cell r="L87" t="str">
            <v>Em andamento</v>
          </cell>
        </row>
        <row r="89">
          <cell r="A89" t="str">
            <v>Extensão-PROBEX</v>
          </cell>
          <cell r="G89">
            <v>39539</v>
          </cell>
          <cell r="H89">
            <v>39792</v>
          </cell>
        </row>
        <row r="92">
          <cell r="A92" t="str">
            <v>Felipe Gonçalves Assis</v>
          </cell>
        </row>
        <row r="94">
          <cell r="A94" t="str">
            <v>Olimpíada Campinense de Matemática</v>
          </cell>
          <cell r="J94" t="str">
            <v>UFCG</v>
          </cell>
          <cell r="L94" t="str">
            <v>Em andamento</v>
          </cell>
        </row>
        <row r="96">
          <cell r="A96" t="str">
            <v>Extensão-PROBEX</v>
          </cell>
          <cell r="G96">
            <v>39539</v>
          </cell>
          <cell r="H96">
            <v>39792</v>
          </cell>
        </row>
        <row r="104">
          <cell r="L104">
            <v>180</v>
          </cell>
        </row>
        <row r="136">
          <cell r="L136">
            <v>0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Projeto Universal CNPq (Coord. Prof. Daniel)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  <cell r="J156">
            <v>39114</v>
          </cell>
          <cell r="K156">
            <v>39844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77">
          <cell r="A177">
            <v>6000</v>
          </cell>
          <cell r="D177">
            <v>6000</v>
          </cell>
          <cell r="G177">
            <v>6000</v>
          </cell>
          <cell r="J177">
            <v>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375000</v>
          </cell>
        </row>
        <row r="186">
          <cell r="A186">
            <v>20000</v>
          </cell>
          <cell r="D186">
            <v>8000</v>
          </cell>
          <cell r="G186">
            <v>8000</v>
          </cell>
          <cell r="J186">
            <v>12000</v>
          </cell>
        </row>
        <row r="196">
          <cell r="L196">
            <v>120</v>
          </cell>
        </row>
        <row r="267">
          <cell r="L267">
            <v>0</v>
          </cell>
        </row>
        <row r="271">
          <cell r="A271" t="str">
            <v>Membro Titular da Banca de Concurso para Prof. Assistente do DM/CCET/UFRN</v>
          </cell>
          <cell r="H271" t="str">
            <v>UFRN (Natal)</v>
          </cell>
          <cell r="K271">
            <v>39587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16</v>
          </cell>
        </row>
        <row r="298">
          <cell r="L298">
            <v>0</v>
          </cell>
        </row>
        <row r="302">
          <cell r="A302" t="str">
            <v>Comissão de Avaliação de Estágio Probatório do Prof. Jesualdo</v>
          </cell>
          <cell r="H302" t="str">
            <v>Port./UAME/008/06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20">
          <cell r="L320">
            <v>4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20</v>
          </cell>
        </row>
        <row r="353">
          <cell r="L353">
            <v>0</v>
          </cell>
        </row>
        <row r="389">
          <cell r="A389" t="str">
            <v>IMPA</v>
          </cell>
          <cell r="H389" t="str">
            <v>OBMEP</v>
          </cell>
          <cell r="K389">
            <v>39594</v>
          </cell>
          <cell r="L389">
            <v>39595</v>
          </cell>
        </row>
        <row r="390">
          <cell r="C390" t="str">
            <v>Reunião dos Coordenadores Regionais da OBMEP</v>
          </cell>
        </row>
        <row r="393">
          <cell r="A393" t="str">
            <v>IMPA</v>
          </cell>
          <cell r="H393" t="str">
            <v>OBMEP</v>
          </cell>
          <cell r="K393">
            <v>39667</v>
          </cell>
          <cell r="L393">
            <v>39668</v>
          </cell>
        </row>
        <row r="394">
          <cell r="C394" t="str">
            <v>Reunião dos Coordenadores Regionais da OBMEP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180</v>
          </cell>
          <cell r="H406">
            <v>0</v>
          </cell>
          <cell r="I406">
            <v>0</v>
          </cell>
          <cell r="J406">
            <v>120</v>
          </cell>
          <cell r="K406">
            <v>0</v>
          </cell>
          <cell r="L406">
            <v>16</v>
          </cell>
        </row>
        <row r="409">
          <cell r="A409">
            <v>0</v>
          </cell>
          <cell r="B409">
            <v>4</v>
          </cell>
          <cell r="C409">
            <v>20</v>
          </cell>
          <cell r="D409">
            <v>0</v>
          </cell>
          <cell r="E409">
            <v>700</v>
          </cell>
        </row>
      </sheetData>
      <sheetData sheetId="20">
        <row r="5">
          <cell r="L5">
            <v>280</v>
          </cell>
        </row>
        <row r="6">
          <cell r="L6">
            <v>280</v>
          </cell>
        </row>
        <row r="8">
          <cell r="L8">
            <v>168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39639</v>
          </cell>
          <cell r="K19" t="str">
            <v>Port.R/SRH/522/2005</v>
          </cell>
        </row>
        <row r="21">
          <cell r="A21" t="str">
            <v>Doutorado em Matemática</v>
          </cell>
          <cell r="L21">
            <v>560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Calculo Diferencial e Integral I</v>
          </cell>
          <cell r="E57">
            <v>4</v>
          </cell>
          <cell r="F57">
            <v>28</v>
          </cell>
          <cell r="I57">
            <v>45</v>
          </cell>
          <cell r="J57">
            <v>27</v>
          </cell>
          <cell r="K57">
            <v>8</v>
          </cell>
          <cell r="L57">
            <v>10</v>
          </cell>
        </row>
        <row r="58">
          <cell r="A58" t="str">
            <v>Algebra Vetorial e Geometria Analítica</v>
          </cell>
          <cell r="E58">
            <v>4</v>
          </cell>
          <cell r="F58">
            <v>28</v>
          </cell>
          <cell r="I58">
            <v>27</v>
          </cell>
          <cell r="J58">
            <v>12</v>
          </cell>
          <cell r="K58">
            <v>7</v>
          </cell>
          <cell r="L58">
            <v>8</v>
          </cell>
        </row>
        <row r="59">
          <cell r="A59" t="str">
            <v>Algebra Vetorial e Geometria Analítica</v>
          </cell>
          <cell r="E59">
            <v>4</v>
          </cell>
          <cell r="F59">
            <v>28</v>
          </cell>
          <cell r="I59">
            <v>60</v>
          </cell>
          <cell r="J59">
            <v>22</v>
          </cell>
          <cell r="K59">
            <v>24</v>
          </cell>
          <cell r="L59">
            <v>14</v>
          </cell>
        </row>
        <row r="62">
          <cell r="E62">
            <v>12</v>
          </cell>
          <cell r="F62">
            <v>84</v>
          </cell>
          <cell r="G62">
            <v>84</v>
          </cell>
          <cell r="I62">
            <v>132</v>
          </cell>
          <cell r="J62">
            <v>61</v>
          </cell>
          <cell r="K62">
            <v>39</v>
          </cell>
          <cell r="L62">
            <v>32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560</v>
          </cell>
          <cell r="B406">
            <v>0</v>
          </cell>
          <cell r="C406">
            <v>0</v>
          </cell>
          <cell r="D406">
            <v>84</v>
          </cell>
          <cell r="E406">
            <v>0</v>
          </cell>
          <cell r="F406">
            <v>84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728</v>
          </cell>
        </row>
      </sheetData>
      <sheetData sheetId="21">
        <row r="5">
          <cell r="L5">
            <v>840</v>
          </cell>
        </row>
        <row r="6">
          <cell r="L6">
            <v>800</v>
          </cell>
        </row>
        <row r="8">
          <cell r="L8">
            <v>715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(Novo) - T 01</v>
          </cell>
          <cell r="E57">
            <v>4</v>
          </cell>
          <cell r="F57">
            <v>60</v>
          </cell>
          <cell r="I57">
            <v>61</v>
          </cell>
          <cell r="J57">
            <v>15</v>
          </cell>
          <cell r="K57">
            <v>29</v>
          </cell>
          <cell r="L57">
            <v>17</v>
          </cell>
        </row>
        <row r="58">
          <cell r="A58" t="str">
            <v>Equações Diferenciais Lineares - T 01</v>
          </cell>
          <cell r="E58">
            <v>4</v>
          </cell>
          <cell r="F58">
            <v>60</v>
          </cell>
          <cell r="I58">
            <v>66</v>
          </cell>
          <cell r="J58">
            <v>28</v>
          </cell>
          <cell r="K58">
            <v>23</v>
          </cell>
          <cell r="L58">
            <v>15</v>
          </cell>
        </row>
        <row r="59">
          <cell r="A59" t="str">
            <v>Equações Diferenciais Lineares - T 03</v>
          </cell>
          <cell r="E59">
            <v>4</v>
          </cell>
          <cell r="F59">
            <v>60</v>
          </cell>
          <cell r="I59">
            <v>61</v>
          </cell>
          <cell r="J59">
            <v>42</v>
          </cell>
          <cell r="K59">
            <v>13</v>
          </cell>
          <cell r="L59">
            <v>6</v>
          </cell>
        </row>
        <row r="62">
          <cell r="E62">
            <v>12</v>
          </cell>
          <cell r="F62">
            <v>180</v>
          </cell>
          <cell r="G62">
            <v>315</v>
          </cell>
          <cell r="I62">
            <v>188</v>
          </cell>
          <cell r="J62">
            <v>85</v>
          </cell>
          <cell r="K62">
            <v>65</v>
          </cell>
          <cell r="L62">
            <v>38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Flávia Daylane Tavares de Luna</v>
          </cell>
        </row>
        <row r="80">
          <cell r="A80" t="str">
            <v>Cálculo Diferencial e Integral II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39573</v>
          </cell>
          <cell r="H82">
            <v>39685</v>
          </cell>
        </row>
        <row r="85">
          <cell r="A85" t="str">
            <v>Raphael Tavares de Alencar</v>
          </cell>
        </row>
        <row r="87">
          <cell r="A87" t="str">
            <v>Cálculo Diferencial e Integral II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>
            <v>39573</v>
          </cell>
          <cell r="H89">
            <v>39685</v>
          </cell>
        </row>
        <row r="99">
          <cell r="A99" t="str">
            <v>Israel Buriti Galvão</v>
          </cell>
        </row>
        <row r="101">
          <cell r="A101" t="str">
            <v>Princípios do Máximo para Equações Diferenciais Parciais e Aplicações</v>
          </cell>
          <cell r="J101" t="str">
            <v>CNPq</v>
          </cell>
          <cell r="L101" t="str">
            <v>Concluído</v>
          </cell>
        </row>
        <row r="103">
          <cell r="A103" t="str">
            <v>PIBIC</v>
          </cell>
          <cell r="G103">
            <v>39295</v>
          </cell>
          <cell r="H103">
            <v>39629</v>
          </cell>
        </row>
        <row r="104">
          <cell r="L104">
            <v>90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de matemática do ensino médio</v>
          </cell>
          <cell r="I171" t="str">
            <v>Eventual</v>
          </cell>
          <cell r="K171" t="str">
            <v>Concluído</v>
          </cell>
        </row>
        <row r="173">
          <cell r="A173" t="str">
            <v>Ensino</v>
          </cell>
          <cell r="D173" t="str">
            <v>FINEP</v>
          </cell>
        </row>
        <row r="196">
          <cell r="L196">
            <v>60</v>
          </cell>
        </row>
        <row r="247">
          <cell r="A247" t="str">
            <v>Equações Diferenciais Lineareas</v>
          </cell>
          <cell r="J247">
            <v>39560</v>
          </cell>
          <cell r="K247">
            <v>39685</v>
          </cell>
        </row>
        <row r="248">
          <cell r="B248" t="str">
            <v>Coordenação de disciplina</v>
          </cell>
        </row>
        <row r="267">
          <cell r="L267">
            <v>10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Port./012/2007/UAME/CCT/UFCG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20</v>
          </cell>
        </row>
        <row r="346">
          <cell r="A346" t="str">
            <v>Participação em conferencias na UAME</v>
          </cell>
        </row>
        <row r="347">
          <cell r="A347" t="str">
            <v>Processos de dispensa de disciplina e revislão de provas</v>
          </cell>
        </row>
        <row r="353">
          <cell r="L353">
            <v>40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315</v>
          </cell>
          <cell r="G406">
            <v>90</v>
          </cell>
          <cell r="H406">
            <v>0</v>
          </cell>
          <cell r="I406">
            <v>0</v>
          </cell>
          <cell r="J406">
            <v>60</v>
          </cell>
          <cell r="K406">
            <v>10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20</v>
          </cell>
          <cell r="D409">
            <v>40</v>
          </cell>
          <cell r="E409">
            <v>715</v>
          </cell>
        </row>
      </sheetData>
      <sheetData sheetId="22">
        <row r="5">
          <cell r="L5">
            <v>840</v>
          </cell>
        </row>
        <row r="6">
          <cell r="L6">
            <v>800</v>
          </cell>
        </row>
        <row r="8">
          <cell r="L8">
            <v>752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(Novo) - T 01</v>
          </cell>
          <cell r="E57">
            <v>4</v>
          </cell>
          <cell r="F57">
            <v>60</v>
          </cell>
          <cell r="I57">
            <v>60</v>
          </cell>
          <cell r="J57">
            <v>25</v>
          </cell>
          <cell r="K57">
            <v>14</v>
          </cell>
          <cell r="L57">
            <v>21</v>
          </cell>
        </row>
        <row r="58">
          <cell r="A58" t="str">
            <v>Cálculo Diferencial e Integral I (Novo) - T 02</v>
          </cell>
          <cell r="E58">
            <v>4</v>
          </cell>
          <cell r="F58">
            <v>60</v>
          </cell>
          <cell r="I58">
            <v>60</v>
          </cell>
          <cell r="J58">
            <v>18</v>
          </cell>
          <cell r="K58">
            <v>17</v>
          </cell>
          <cell r="L58">
            <v>25</v>
          </cell>
        </row>
        <row r="59">
          <cell r="A59" t="str">
            <v>TEM (Prática de Ensino) - T 01</v>
          </cell>
          <cell r="E59">
            <v>4</v>
          </cell>
          <cell r="F59">
            <v>60</v>
          </cell>
          <cell r="I59">
            <v>14</v>
          </cell>
          <cell r="J59">
            <v>14</v>
          </cell>
          <cell r="K59">
            <v>0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134</v>
          </cell>
          <cell r="J62">
            <v>57</v>
          </cell>
          <cell r="K62">
            <v>31</v>
          </cell>
          <cell r="L62">
            <v>46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Maria de Fátima Pereira</v>
          </cell>
        </row>
        <row r="80">
          <cell r="A80" t="str">
            <v>Contextualuzando a Matemática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  <cell r="G82">
            <v>39573</v>
          </cell>
        </row>
        <row r="85">
          <cell r="A85" t="str">
            <v>Kleber Jessivaldo Gomes das Chagas  </v>
          </cell>
        </row>
        <row r="87">
          <cell r="A87" t="str">
            <v>MELHORIA DO ENSINO DE GRADUAÇÃO NA UAME/CCT/UFCG</v>
          </cell>
          <cell r="J87" t="str">
            <v>UFCG</v>
          </cell>
          <cell r="L87" t="str">
            <v>Em andamento</v>
          </cell>
        </row>
        <row r="89">
          <cell r="A89" t="str">
            <v>Monitoria</v>
          </cell>
          <cell r="G89">
            <v>39573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</row>
        <row r="306">
          <cell r="A306" t="str">
            <v>Pres. da Comissão de Avaliação de Estágio Probatório (Profa. Patrícia)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Programa de modernização e valorização das engenharias (PROMOVE )</v>
          </cell>
          <cell r="J310">
            <v>39064</v>
          </cell>
        </row>
        <row r="320">
          <cell r="L320">
            <v>116</v>
          </cell>
        </row>
        <row r="324">
          <cell r="A324" t="str">
            <v>Graduação em Meteorologia</v>
          </cell>
          <cell r="H324" t="str">
            <v>Port./014/UAME/2007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em Física</v>
          </cell>
          <cell r="H328" t="str">
            <v>Port./015/UAME/2007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46">
          <cell r="A346" t="str">
            <v>Recepção aos Alunos Novatos do CCT, CEEI e CTRN - Período 2008.1</v>
          </cell>
          <cell r="J346">
            <v>39567</v>
          </cell>
          <cell r="K346">
            <v>39567</v>
          </cell>
        </row>
        <row r="347">
          <cell r="A347" t="str">
            <v>I Semana Acadêmica do CCHE  da UEPB – Campus VI – Monteiro – PB. </v>
          </cell>
          <cell r="J347">
            <v>39597</v>
          </cell>
          <cell r="K347">
            <v>39597</v>
          </cell>
        </row>
        <row r="353">
          <cell r="L353">
            <v>12</v>
          </cell>
        </row>
        <row r="358">
          <cell r="A358" t="str">
            <v>Recepção aos Alunos Novatos do CCT, CEEI e CTRN - Período 2008.1</v>
          </cell>
          <cell r="I358">
            <v>39567</v>
          </cell>
          <cell r="J358">
            <v>39567</v>
          </cell>
          <cell r="K358" t="str">
            <v>UFCG</v>
          </cell>
          <cell r="L358" t="str">
            <v>Local</v>
          </cell>
        </row>
        <row r="359">
          <cell r="A359" t="str">
            <v>I Semana Acadêmica do CCHE  da UEPB – Campus VI</v>
          </cell>
          <cell r="I359">
            <v>39597</v>
          </cell>
          <cell r="J359">
            <v>39597</v>
          </cell>
          <cell r="K359" t="str">
            <v>UEPB</v>
          </cell>
          <cell r="L359" t="str">
            <v>Regional</v>
          </cell>
        </row>
        <row r="365">
          <cell r="A365" t="str">
            <v>O USO DO COMPUTADOR EM SALA DE AULA</v>
          </cell>
          <cell r="I365" t="str">
            <v> Monteiro – PB. </v>
          </cell>
          <cell r="L365">
            <v>39597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116</v>
          </cell>
          <cell r="C409">
            <v>4</v>
          </cell>
          <cell r="D409">
            <v>12</v>
          </cell>
          <cell r="E409">
            <v>752</v>
          </cell>
        </row>
      </sheetData>
      <sheetData sheetId="23">
        <row r="5">
          <cell r="L5">
            <v>840</v>
          </cell>
        </row>
        <row r="6">
          <cell r="L6">
            <v>800</v>
          </cell>
        </row>
        <row r="8">
          <cell r="L8">
            <v>718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39560</v>
          </cell>
          <cell r="L36" t="str">
            <v>andamento</v>
          </cell>
        </row>
        <row r="38">
          <cell r="A38" t="str">
            <v>O momento angular na mecânica quântica/grupos e álgebras de Lie</v>
          </cell>
        </row>
        <row r="51">
          <cell r="L51">
            <v>42</v>
          </cell>
        </row>
        <row r="57">
          <cell r="A57" t="str">
            <v>Cálculo Diferencial e Integral III (Novo) - T 01</v>
          </cell>
          <cell r="E57">
            <v>4</v>
          </cell>
          <cell r="F57">
            <v>60</v>
          </cell>
          <cell r="I57">
            <v>20</v>
          </cell>
          <cell r="J57">
            <v>16</v>
          </cell>
          <cell r="K57">
            <v>3</v>
          </cell>
          <cell r="L57">
            <v>1</v>
          </cell>
        </row>
        <row r="58">
          <cell r="A58" t="str">
            <v>Funções de uma Variável Complexa - T 01</v>
          </cell>
          <cell r="E58">
            <v>4</v>
          </cell>
          <cell r="F58">
            <v>60</v>
          </cell>
          <cell r="I58">
            <v>58</v>
          </cell>
          <cell r="J58">
            <v>45</v>
          </cell>
          <cell r="K58">
            <v>7</v>
          </cell>
          <cell r="L58">
            <v>6</v>
          </cell>
        </row>
        <row r="59">
          <cell r="A59" t="str">
            <v>Variáveis Complexas - T 01</v>
          </cell>
          <cell r="E59">
            <v>4</v>
          </cell>
          <cell r="F59">
            <v>60</v>
          </cell>
          <cell r="I59">
            <v>17</v>
          </cell>
          <cell r="J59">
            <v>14</v>
          </cell>
          <cell r="K59">
            <v>3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480</v>
          </cell>
          <cell r="I62">
            <v>95</v>
          </cell>
          <cell r="J62">
            <v>75</v>
          </cell>
          <cell r="K62">
            <v>13</v>
          </cell>
          <cell r="L62">
            <v>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Bacharelado em Física</v>
          </cell>
          <cell r="H324" t="str">
            <v>Port./UAME/015/2007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Port./UAME/016/2007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7">
          <cell r="A347" t="str">
            <v>Coordenador Local da OBM-nível universitário</v>
          </cell>
          <cell r="J347">
            <v>38777</v>
          </cell>
          <cell r="K347" t="str">
            <v>permanente</v>
          </cell>
        </row>
        <row r="348">
          <cell r="A348" t="str">
            <v>Trabalho de tradução para a língua inglesa do projeto de participação do DME no INCT</v>
          </cell>
          <cell r="J348">
            <v>39689</v>
          </cell>
          <cell r="K348">
            <v>39692</v>
          </cell>
        </row>
        <row r="353">
          <cell r="L353">
            <v>16</v>
          </cell>
        </row>
        <row r="365">
          <cell r="A365" t="str">
            <v>Palestra "A descoberta da Geometria Não-Euclidiana"</v>
          </cell>
          <cell r="I365" t="str">
            <v>UEPB</v>
          </cell>
          <cell r="L365">
            <v>39605</v>
          </cell>
        </row>
        <row r="406">
          <cell r="A406">
            <v>0</v>
          </cell>
          <cell r="B406">
            <v>0</v>
          </cell>
          <cell r="C406">
            <v>42</v>
          </cell>
          <cell r="D406">
            <v>180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16</v>
          </cell>
          <cell r="E409">
            <v>718</v>
          </cell>
        </row>
      </sheetData>
      <sheetData sheetId="24">
        <row r="5">
          <cell r="L5">
            <v>840</v>
          </cell>
        </row>
        <row r="6">
          <cell r="L6">
            <v>800</v>
          </cell>
        </row>
        <row r="8">
          <cell r="L8">
            <v>801</v>
          </cell>
        </row>
        <row r="13">
          <cell r="C13" t="str">
            <v>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39569</v>
          </cell>
          <cell r="L36">
            <v>39691</v>
          </cell>
        </row>
        <row r="38">
          <cell r="A38" t="str">
            <v>Seminário de Métodos Variacionais</v>
          </cell>
        </row>
        <row r="40">
          <cell r="A40" t="str">
            <v>UFCG</v>
          </cell>
          <cell r="F40" t="str">
            <v>Estudo Individual</v>
          </cell>
          <cell r="K40">
            <v>39569</v>
          </cell>
          <cell r="L40">
            <v>39691</v>
          </cell>
        </row>
        <row r="42">
          <cell r="A42" t="str">
            <v>Estudos individuais em Equações Diferenciais Parciais</v>
          </cell>
        </row>
        <row r="44">
          <cell r="A44" t="str">
            <v>UFCG</v>
          </cell>
          <cell r="F44" t="str">
            <v>Preparação para o doutorado</v>
          </cell>
        </row>
        <row r="46">
          <cell r="A46" t="str">
            <v>Aluno ouvinte na disciplina "Introdução às Soluções Fracas para EDP's" /Profa Bianca Moreli Caretta</v>
          </cell>
        </row>
        <row r="51">
          <cell r="L51">
            <v>185</v>
          </cell>
        </row>
        <row r="57">
          <cell r="A57" t="str">
            <v>Cálculo Diferencial e Integral I - T 01</v>
          </cell>
          <cell r="E57">
            <v>6</v>
          </cell>
          <cell r="F57">
            <v>90</v>
          </cell>
          <cell r="I57">
            <v>60</v>
          </cell>
          <cell r="J57">
            <v>8</v>
          </cell>
          <cell r="K57">
            <v>34</v>
          </cell>
          <cell r="L57">
            <v>18</v>
          </cell>
        </row>
        <row r="58">
          <cell r="A58" t="str">
            <v>Cálculo Diferencial e Integral I - T 06</v>
          </cell>
          <cell r="E58">
            <v>6</v>
          </cell>
          <cell r="F58">
            <v>90</v>
          </cell>
          <cell r="I58">
            <v>61</v>
          </cell>
          <cell r="J58">
            <v>10</v>
          </cell>
          <cell r="K58">
            <v>22</v>
          </cell>
          <cell r="L58">
            <v>29</v>
          </cell>
        </row>
        <row r="62">
          <cell r="E62">
            <v>12</v>
          </cell>
          <cell r="F62">
            <v>180</v>
          </cell>
          <cell r="G62">
            <v>290</v>
          </cell>
          <cell r="I62">
            <v>121</v>
          </cell>
          <cell r="J62">
            <v>18</v>
          </cell>
          <cell r="K62">
            <v>56</v>
          </cell>
          <cell r="L62">
            <v>47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Gustavo Galindo</v>
          </cell>
        </row>
        <row r="80">
          <cell r="A80" t="str">
            <v>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</row>
        <row r="104">
          <cell r="L104">
            <v>90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Coordenação de disciplina (Cálculo Diferencial e Integral I)</v>
          </cell>
          <cell r="J247">
            <v>39560</v>
          </cell>
          <cell r="K247">
            <v>39689</v>
          </cell>
        </row>
        <row r="248">
          <cell r="B248" t="str">
            <v>Coordenação de disciplina</v>
          </cell>
        </row>
        <row r="267">
          <cell r="L267">
            <v>30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Port./UAME/016/2007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Port./UAME/009/2007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AVALIAÇÃO DAS PROVAS DE MATEMÁTICA DO VESTIBULAR 2008 DA UFCG</v>
          </cell>
          <cell r="J346">
            <v>39583</v>
          </cell>
          <cell r="K346">
            <v>39637</v>
          </cell>
        </row>
        <row r="347">
          <cell r="A347" t="str">
            <v>PARTICIPAÇÃ0 EM BANCAS E COMISSÕES EXAMINADORAS ( BOLSAS REUNI)</v>
          </cell>
          <cell r="J347">
            <v>39598</v>
          </cell>
        </row>
        <row r="348">
          <cell r="A348" t="str">
            <v>RELATOR DE ALGUNS PROCESSOS DE SOLICITAÇÃO DE DISPENSA DE DISCIPLINA</v>
          </cell>
        </row>
        <row r="353">
          <cell r="L353">
            <v>26</v>
          </cell>
        </row>
        <row r="406">
          <cell r="A406">
            <v>0</v>
          </cell>
          <cell r="B406">
            <v>0</v>
          </cell>
          <cell r="C406">
            <v>185</v>
          </cell>
          <cell r="D406">
            <v>180</v>
          </cell>
          <cell r="E406">
            <v>0</v>
          </cell>
          <cell r="F406">
            <v>290</v>
          </cell>
          <cell r="G406">
            <v>90</v>
          </cell>
          <cell r="H406">
            <v>0</v>
          </cell>
          <cell r="I406">
            <v>0</v>
          </cell>
          <cell r="J406">
            <v>0</v>
          </cell>
          <cell r="K406">
            <v>30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26</v>
          </cell>
          <cell r="E409">
            <v>801</v>
          </cell>
        </row>
      </sheetData>
      <sheetData sheetId="25">
        <row r="5">
          <cell r="L5">
            <v>840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 - UFCG</v>
          </cell>
          <cell r="F36" t="str">
            <v>Seminário Interno</v>
          </cell>
        </row>
        <row r="38">
          <cell r="A38" t="str">
            <v>Pesquisa em Equações Diferenciais Parciais Elípticas: Soluções Multibumps</v>
          </cell>
        </row>
        <row r="51">
          <cell r="L51">
            <v>0</v>
          </cell>
        </row>
        <row r="57">
          <cell r="A57" t="str">
            <v>TE(Matemática para o Ensino Médio I - Uma visão crítica)</v>
          </cell>
          <cell r="E57">
            <v>4</v>
          </cell>
          <cell r="F57">
            <v>60</v>
          </cell>
          <cell r="I57">
            <v>27</v>
          </cell>
          <cell r="J57">
            <v>17</v>
          </cell>
          <cell r="K57">
            <v>7</v>
          </cell>
          <cell r="L57">
            <v>3</v>
          </cell>
        </row>
        <row r="58">
          <cell r="A58" t="str">
            <v>Álgebra Verorial e Geometria Analítica</v>
          </cell>
          <cell r="E58">
            <v>3</v>
          </cell>
          <cell r="F58">
            <v>45</v>
          </cell>
        </row>
        <row r="62">
          <cell r="E62">
            <v>7</v>
          </cell>
          <cell r="F62">
            <v>105</v>
          </cell>
          <cell r="G62">
            <v>105</v>
          </cell>
          <cell r="I62">
            <v>27</v>
          </cell>
          <cell r="J62">
            <v>17</v>
          </cell>
          <cell r="K62">
            <v>7</v>
          </cell>
          <cell r="L62">
            <v>3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Eraldo Almeida Lima Júnior</v>
          </cell>
        </row>
        <row r="80">
          <cell r="A80" t="str">
            <v>Equações Diferenciais Aplicadas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39667</v>
          </cell>
        </row>
        <row r="104">
          <cell r="L104">
            <v>30</v>
          </cell>
        </row>
        <row r="110">
          <cell r="A110" t="str">
            <v>Rawlilson de Oliveira Araújo</v>
          </cell>
        </row>
        <row r="112">
          <cell r="A112" t="str">
            <v>Soluções multivortex em toro bidimensional (Port. 013/PPGMat)</v>
          </cell>
          <cell r="J112" t="str">
            <v>CNPq</v>
          </cell>
        </row>
        <row r="114">
          <cell r="G114">
            <v>39142</v>
          </cell>
          <cell r="H114">
            <v>39872</v>
          </cell>
        </row>
        <row r="117">
          <cell r="A117" t="str">
            <v>Rodrigo Cohen Nemer</v>
          </cell>
        </row>
        <row r="119">
          <cell r="A119" t="str">
            <v>Problemas com falta de compacidade</v>
          </cell>
          <cell r="J119" t="str">
            <v>CAPES</v>
          </cell>
        </row>
        <row r="121">
          <cell r="G121">
            <v>39508</v>
          </cell>
          <cell r="H121">
            <v>39872</v>
          </cell>
        </row>
        <row r="136">
          <cell r="L136">
            <v>90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39116</v>
          </cell>
          <cell r="K142">
            <v>39874</v>
          </cell>
        </row>
        <row r="147">
          <cell r="A147" t="str">
            <v>Projeto Universal CNPq (Coord. Prof. Daniel): Proc No: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Participante</v>
          </cell>
          <cell r="J149">
            <v>39114</v>
          </cell>
          <cell r="K149">
            <v>39844</v>
          </cell>
        </row>
        <row r="166">
          <cell r="L166">
            <v>60</v>
          </cell>
        </row>
        <row r="196">
          <cell r="L196">
            <v>0</v>
          </cell>
        </row>
        <row r="204">
          <cell r="A204" t="str">
            <v>Souto, M. S. e Alves, C. O. Multiplicity of positive solutions for a class of problems with exponential critical growth in R^2, Journal of Differential Equations, v. 244, p. 1502-1520, 2008</v>
          </cell>
        </row>
        <row r="205">
          <cell r="B205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do Programa de Pós-Graduação em Matemática/CCT-UFCG</v>
          </cell>
          <cell r="H295" t="str">
            <v>Port.S/SRH n 3059</v>
          </cell>
          <cell r="J295">
            <v>39449</v>
          </cell>
          <cell r="K295">
            <v>40249</v>
          </cell>
        </row>
        <row r="298">
          <cell r="L298">
            <v>373</v>
          </cell>
        </row>
        <row r="302">
          <cell r="A302" t="str">
            <v>Suplente da Comissão de Avaliação p/ Progressão Funcional para a Classe de Professor Associado</v>
          </cell>
          <cell r="H302" t="str">
            <v>Port. GR/090/2007</v>
          </cell>
          <cell r="J302">
            <v>38959</v>
          </cell>
          <cell r="K302">
            <v>39351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10">
          <cell r="A310" t="str">
            <v>Membro da Comissão de Avaliação p/ Progressão Funcional para a Classe de Professor Associado</v>
          </cell>
        </row>
        <row r="314">
          <cell r="A314" t="str">
            <v>Comissão encarregada de elaborar minuta de regimento interno da UAME</v>
          </cell>
          <cell r="H314" t="str">
            <v>Port./UAME/41/2007</v>
          </cell>
          <cell r="K314">
            <v>39733</v>
          </cell>
        </row>
        <row r="320">
          <cell r="L320">
            <v>60</v>
          </cell>
        </row>
        <row r="342">
          <cell r="L342">
            <v>0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47">
          <cell r="A347" t="str">
            <v>Susbstituição de EDL (12 horas)</v>
          </cell>
        </row>
        <row r="353">
          <cell r="L353">
            <v>17</v>
          </cell>
        </row>
        <row r="358">
          <cell r="A358" t="str">
            <v>Fórum de Pós-Graduação e Pesquisa em Matemática - SBM</v>
          </cell>
          <cell r="I358">
            <v>39496</v>
          </cell>
          <cell r="J358">
            <v>39678</v>
          </cell>
          <cell r="K358" t="str">
            <v>UFRJ</v>
          </cell>
          <cell r="L358" t="str">
            <v>Nacional</v>
          </cell>
        </row>
        <row r="389">
          <cell r="A389" t="str">
            <v>USP - São Carlos</v>
          </cell>
          <cell r="H389" t="str">
            <v>Casadinho/CNPq</v>
          </cell>
          <cell r="K389">
            <v>39692</v>
          </cell>
          <cell r="L389">
            <v>39696</v>
          </cell>
        </row>
        <row r="390">
          <cell r="C390" t="str">
            <v>Intercambio científico com o Prof. Sérgio Monari (USP-São Carlos)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105</v>
          </cell>
          <cell r="E406">
            <v>0</v>
          </cell>
          <cell r="F406">
            <v>105</v>
          </cell>
          <cell r="G406">
            <v>30</v>
          </cell>
          <cell r="H406">
            <v>90</v>
          </cell>
          <cell r="I406">
            <v>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373</v>
          </cell>
          <cell r="B409">
            <v>60</v>
          </cell>
          <cell r="C409">
            <v>0</v>
          </cell>
          <cell r="D409">
            <v>17</v>
          </cell>
          <cell r="E409">
            <v>840</v>
          </cell>
        </row>
      </sheetData>
      <sheetData sheetId="26">
        <row r="5">
          <cell r="L5">
            <v>120</v>
          </cell>
        </row>
        <row r="6">
          <cell r="L6">
            <v>120</v>
          </cell>
        </row>
        <row r="8">
          <cell r="L8">
            <v>120</v>
          </cell>
        </row>
        <row r="13">
          <cell r="C13" t="str">
            <v>Marisa de Sales Monteiro</v>
          </cell>
          <cell r="J13" t="str">
            <v>0329262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K15">
            <v>39577</v>
          </cell>
          <cell r="L15" t="str">
            <v>Aposent.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39048</v>
          </cell>
          <cell r="L36">
            <v>39577</v>
          </cell>
        </row>
        <row r="38">
          <cell r="A38" t="str">
            <v>Estudo sobre Álgebra</v>
          </cell>
        </row>
        <row r="51">
          <cell r="L51">
            <v>120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120</v>
          </cell>
        </row>
      </sheetData>
      <sheetData sheetId="27">
        <row r="5">
          <cell r="L5">
            <v>840</v>
          </cell>
        </row>
        <row r="6">
          <cell r="L6">
            <v>800</v>
          </cell>
        </row>
        <row r="8">
          <cell r="L8">
            <v>812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Métodos Estatísticos - T 01</v>
          </cell>
          <cell r="E57">
            <v>4</v>
          </cell>
          <cell r="F57">
            <v>60</v>
          </cell>
          <cell r="I57">
            <v>44</v>
          </cell>
          <cell r="J57">
            <v>29</v>
          </cell>
          <cell r="K57">
            <v>8</v>
          </cell>
          <cell r="L57">
            <v>7</v>
          </cell>
        </row>
        <row r="58">
          <cell r="A58" t="str">
            <v>TE(Métodos Estatísticos) - T 01</v>
          </cell>
          <cell r="E58">
            <v>4</v>
          </cell>
          <cell r="F58">
            <v>60</v>
          </cell>
          <cell r="I58">
            <v>2</v>
          </cell>
          <cell r="J58">
            <v>0</v>
          </cell>
          <cell r="K58">
            <v>1</v>
          </cell>
          <cell r="L58">
            <v>1</v>
          </cell>
        </row>
        <row r="59">
          <cell r="A59" t="str">
            <v>Tópicos Especiais de Estatística - T 01</v>
          </cell>
          <cell r="E59">
            <v>4</v>
          </cell>
          <cell r="F59">
            <v>60</v>
          </cell>
          <cell r="I59">
            <v>10</v>
          </cell>
          <cell r="J59">
            <v>9</v>
          </cell>
          <cell r="K59">
            <v>1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210</v>
          </cell>
          <cell r="I62">
            <v>56</v>
          </cell>
          <cell r="J62">
            <v>38</v>
          </cell>
          <cell r="K62">
            <v>10</v>
          </cell>
          <cell r="L62">
            <v>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Baptista de Assis</v>
          </cell>
        </row>
        <row r="80">
          <cell r="A80" t="str">
            <v>Modelos Birnbaum-Saunders generalizados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85">
          <cell r="A85" t="str">
            <v>Maura Regina do Nascimento</v>
          </cell>
        </row>
        <row r="87">
          <cell r="A87" t="str">
            <v>Modelos lineares com R</v>
          </cell>
          <cell r="J87" t="str">
            <v>Não há</v>
          </cell>
          <cell r="L87" t="str">
            <v>Em andamento</v>
          </cell>
        </row>
        <row r="89">
          <cell r="A89" t="str">
            <v>Projeto Específico</v>
          </cell>
          <cell r="G89">
            <v>39560</v>
          </cell>
          <cell r="H89">
            <v>39801</v>
          </cell>
        </row>
        <row r="104">
          <cell r="L104">
            <v>46</v>
          </cell>
        </row>
        <row r="110">
          <cell r="A110" t="str">
            <v>José Iraponil Costa Lima</v>
          </cell>
        </row>
        <row r="112">
          <cell r="A112" t="str">
            <v>Diagnóstico baseado na influência local conforme para modelos de regressão log-Birnbaum-Saunders</v>
          </cell>
          <cell r="J112" t="str">
            <v>Não há</v>
          </cell>
        </row>
        <row r="114">
          <cell r="G114">
            <v>39153</v>
          </cell>
          <cell r="H114">
            <v>39703</v>
          </cell>
        </row>
        <row r="136">
          <cell r="L136">
            <v>150</v>
          </cell>
        </row>
        <row r="140">
          <cell r="A140" t="str">
            <v>Diagnóstico de Influência em Modelos de Regressão de Contornos Elípticos</v>
          </cell>
          <cell r="I140" t="str">
            <v>CNPq</v>
          </cell>
          <cell r="K140" t="str">
            <v>Em andamento</v>
          </cell>
        </row>
        <row r="142">
          <cell r="A142" t="str">
            <v>Estatística</v>
          </cell>
          <cell r="H142" t="str">
            <v>Participante</v>
          </cell>
          <cell r="J142">
            <v>38993</v>
          </cell>
          <cell r="K142">
            <v>39724</v>
          </cell>
        </row>
        <row r="147">
          <cell r="A147" t="str">
            <v>Modelos Tobit</v>
          </cell>
          <cell r="I147" t="str">
            <v>Não há</v>
          </cell>
          <cell r="K147" t="str">
            <v>Em andamento</v>
          </cell>
        </row>
        <row r="149">
          <cell r="A149" t="str">
            <v>Regressão</v>
          </cell>
          <cell r="H149" t="str">
            <v>Coordenador</v>
          </cell>
          <cell r="J149">
            <v>39384</v>
          </cell>
          <cell r="K149">
            <v>39751</v>
          </cell>
        </row>
        <row r="166">
          <cell r="L166">
            <v>120</v>
          </cell>
        </row>
        <row r="196">
          <cell r="L196">
            <v>0</v>
          </cell>
        </row>
        <row r="200">
          <cell r="A200" t="str">
            <v> Barros, Michelli; Paula, G.A.;Leiva, V. A New Class of Survival Regression Models with Heavy-Tailed Errors: Robustness and Diagnostics.  Lifetime Data Analysis,v. 14, p. 1-17, 2008. 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Concurso para Prof. Adjunto</v>
          </cell>
          <cell r="H271" t="str">
            <v>UFCG-Pombal</v>
          </cell>
          <cell r="K271">
            <v>39608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Emissão de pareceres em processos do CNPq</v>
          </cell>
          <cell r="H274" t="str">
            <v>UFCG</v>
          </cell>
          <cell r="K274">
            <v>39673</v>
          </cell>
        </row>
        <row r="275">
          <cell r="B275" t="str">
            <v>Comite do PIBIC</v>
          </cell>
        </row>
        <row r="277">
          <cell r="A277" t="str">
            <v>Concurso para Prof. Substituto</v>
          </cell>
          <cell r="H277" t="str">
            <v>UAME-UFCG</v>
          </cell>
          <cell r="K277">
            <v>39615</v>
          </cell>
        </row>
        <row r="278">
          <cell r="B278" t="str">
            <v>Banca examinadora de concurso público para professor temporário</v>
          </cell>
        </row>
        <row r="291">
          <cell r="L291">
            <v>84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Port./UAME/017/2007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Computação</v>
          </cell>
          <cell r="H328" t="str">
            <v>Port./UAME/018/2007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Participação da comissão de elaboração do PPC do curso de Estatística</v>
          </cell>
          <cell r="J346">
            <v>39650</v>
          </cell>
        </row>
        <row r="347">
          <cell r="A347" t="str">
            <v>Parecer em processos de dispensa de disciplinas</v>
          </cell>
        </row>
        <row r="353">
          <cell r="L353">
            <v>22</v>
          </cell>
        </row>
        <row r="372">
          <cell r="A372" t="str">
            <v>Víctor Leiva</v>
          </cell>
          <cell r="F372" t="str">
            <v>Universidade de Valparaíso_Chile</v>
          </cell>
          <cell r="K372">
            <v>39573</v>
          </cell>
          <cell r="L372">
            <v>39575</v>
          </cell>
        </row>
        <row r="373">
          <cell r="C373" t="str">
            <v>Conclusão de um pacote no R nomeado gbs  que já está disponível no CRAN para distribuições Birnbaum-Saunders generalizada;</v>
          </cell>
        </row>
        <row r="376">
          <cell r="A376" t="str">
            <v>Juvêncio Santos Nobre</v>
          </cell>
          <cell r="F376" t="str">
            <v>DEMA-UFC</v>
          </cell>
          <cell r="H376" t="str">
            <v>UFCG</v>
          </cell>
          <cell r="K376">
            <v>39671</v>
          </cell>
          <cell r="L376">
            <v>39675</v>
          </cell>
        </row>
        <row r="377">
          <cell r="C377" t="str">
            <v>Proferiu palestra e interagiu com o grupo de pesquisa da estatística da UAME/UFCG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210</v>
          </cell>
          <cell r="G406">
            <v>46</v>
          </cell>
          <cell r="H406">
            <v>150</v>
          </cell>
          <cell r="I406">
            <v>120</v>
          </cell>
          <cell r="J406">
            <v>0</v>
          </cell>
          <cell r="K406">
            <v>0</v>
          </cell>
          <cell r="L406">
            <v>84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22</v>
          </cell>
          <cell r="E409">
            <v>812</v>
          </cell>
        </row>
      </sheetData>
      <sheetData sheetId="28">
        <row r="5">
          <cell r="L5">
            <v>720</v>
          </cell>
        </row>
        <row r="6">
          <cell r="L6">
            <v>680</v>
          </cell>
        </row>
        <row r="8">
          <cell r="L8">
            <v>680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por motivo de doença em pessoa da família</v>
          </cell>
          <cell r="H26">
            <v>39560</v>
          </cell>
          <cell r="I26">
            <v>39576</v>
          </cell>
        </row>
        <row r="32">
          <cell r="L32">
            <v>120</v>
          </cell>
        </row>
        <row r="51">
          <cell r="L51">
            <v>0</v>
          </cell>
        </row>
        <row r="57">
          <cell r="A57" t="str">
            <v>Álgebra Linear I - T 01</v>
          </cell>
          <cell r="E57">
            <v>4</v>
          </cell>
          <cell r="F57">
            <v>60</v>
          </cell>
          <cell r="I57">
            <v>60</v>
          </cell>
          <cell r="J57">
            <v>26</v>
          </cell>
          <cell r="K57">
            <v>19</v>
          </cell>
          <cell r="L57">
            <v>15</v>
          </cell>
        </row>
        <row r="58">
          <cell r="A58" t="str">
            <v>Álgebra Linear I - T 05</v>
          </cell>
          <cell r="E58">
            <v>4</v>
          </cell>
          <cell r="F58">
            <v>60</v>
          </cell>
          <cell r="I58">
            <v>59</v>
          </cell>
          <cell r="J58">
            <v>22</v>
          </cell>
          <cell r="K58">
            <v>13</v>
          </cell>
          <cell r="L58">
            <v>24</v>
          </cell>
        </row>
        <row r="59">
          <cell r="A59" t="str">
            <v>Cálculo Diferencial e Integral I (Comp.+Elétr.) -T 01</v>
          </cell>
          <cell r="E59">
            <v>4</v>
          </cell>
          <cell r="F59">
            <v>60</v>
          </cell>
          <cell r="I59">
            <v>60</v>
          </cell>
          <cell r="J59">
            <v>44</v>
          </cell>
          <cell r="K59">
            <v>4</v>
          </cell>
          <cell r="L59">
            <v>12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179</v>
          </cell>
          <cell r="J62">
            <v>92</v>
          </cell>
          <cell r="K62">
            <v>36</v>
          </cell>
          <cell r="L62">
            <v>51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Diego Paes de A. Pena</v>
          </cell>
        </row>
        <row r="80">
          <cell r="A80" t="str">
            <v>Projeto de Monitoria da UAME</v>
          </cell>
        </row>
        <row r="82">
          <cell r="A82" t="str">
            <v>Monitoria</v>
          </cell>
          <cell r="G82">
            <v>39560</v>
          </cell>
          <cell r="H82">
            <v>39682</v>
          </cell>
        </row>
        <row r="85">
          <cell r="A85" t="str">
            <v>Carolyn Turnell</v>
          </cell>
        </row>
        <row r="87">
          <cell r="A87" t="str">
            <v>Projeto de Monitoria da UAME</v>
          </cell>
        </row>
        <row r="89">
          <cell r="A89" t="str">
            <v>Monitoria</v>
          </cell>
          <cell r="G89">
            <v>39560</v>
          </cell>
          <cell r="H89">
            <v>39682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Comissão de Seleção do concurso Público para Professor Substituto da UAME</v>
          </cell>
          <cell r="H271" t="str">
            <v>UAME</v>
          </cell>
          <cell r="K271">
            <v>39591</v>
          </cell>
        </row>
        <row r="291">
          <cell r="L291">
            <v>10</v>
          </cell>
        </row>
        <row r="298">
          <cell r="L298">
            <v>0</v>
          </cell>
        </row>
        <row r="302">
          <cell r="A302" t="str">
            <v> Comissao de Avaliação de Estágio Probatório (Prof. Marcelo)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de Estágio Probatório (Prof. Michelli)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20">
          <cell r="L320">
            <v>30</v>
          </cell>
        </row>
        <row r="324">
          <cell r="A324" t="str">
            <v>Graduação em Engenharia Mecânica</v>
          </cell>
          <cell r="H324" t="str">
            <v>Port./UAME/021/2007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Engeharia de Materiais</v>
          </cell>
          <cell r="H328" t="str">
            <v>Port./UAME/020/2007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20</v>
          </cell>
        </row>
        <row r="353">
          <cell r="L353">
            <v>0</v>
          </cell>
        </row>
        <row r="406">
          <cell r="A406">
            <v>0</v>
          </cell>
          <cell r="B406">
            <v>120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30</v>
          </cell>
          <cell r="C409">
            <v>20</v>
          </cell>
          <cell r="D409">
            <v>0</v>
          </cell>
          <cell r="E409">
            <v>800</v>
          </cell>
        </row>
      </sheetData>
      <sheetData sheetId="29">
        <row r="5">
          <cell r="L5">
            <v>840</v>
          </cell>
        </row>
        <row r="6">
          <cell r="L6">
            <v>800</v>
          </cell>
        </row>
        <row r="8">
          <cell r="L8">
            <v>836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100</v>
          </cell>
        </row>
        <row r="57">
          <cell r="A57" t="str">
            <v>Probabilidade e Estatística - T 01</v>
          </cell>
          <cell r="E57">
            <v>6</v>
          </cell>
          <cell r="F57">
            <v>90</v>
          </cell>
          <cell r="I57">
            <v>59</v>
          </cell>
          <cell r="J57">
            <v>28</v>
          </cell>
          <cell r="K57">
            <v>18</v>
          </cell>
          <cell r="L57">
            <v>13</v>
          </cell>
        </row>
        <row r="58">
          <cell r="A58" t="str">
            <v>Probabilidade e Estatística - T 02</v>
          </cell>
          <cell r="E58">
            <v>6</v>
          </cell>
          <cell r="F58">
            <v>90</v>
          </cell>
          <cell r="I58">
            <v>57</v>
          </cell>
          <cell r="J58">
            <v>31</v>
          </cell>
          <cell r="K58">
            <v>16</v>
          </cell>
          <cell r="L58">
            <v>10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116</v>
          </cell>
          <cell r="J62">
            <v>59</v>
          </cell>
          <cell r="K62">
            <v>34</v>
          </cell>
          <cell r="L62">
            <v>23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Débora Karollyne Xavier Silva</v>
          </cell>
        </row>
        <row r="82">
          <cell r="G82">
            <v>39560</v>
          </cell>
        </row>
        <row r="104">
          <cell r="L104">
            <v>44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Coordenadora da disciplina Probabilidade e Estatística</v>
          </cell>
          <cell r="J247">
            <v>39560</v>
          </cell>
          <cell r="K247">
            <v>39689</v>
          </cell>
        </row>
        <row r="267">
          <cell r="L267">
            <v>40</v>
          </cell>
        </row>
        <row r="271">
          <cell r="A271" t="str">
            <v>Concurso para Prof. Substituto da UAME</v>
          </cell>
          <cell r="H271" t="str">
            <v>UFCG</v>
          </cell>
          <cell r="K271">
            <v>39615</v>
          </cell>
        </row>
        <row r="272">
          <cell r="B272" t="str">
            <v>Banca examinadora de concurso público para professor temporário</v>
          </cell>
        </row>
        <row r="291">
          <cell r="L291">
            <v>12</v>
          </cell>
        </row>
        <row r="298">
          <cell r="L298">
            <v>0</v>
          </cell>
        </row>
        <row r="302">
          <cell r="A302" t="str">
            <v>Assessoria de Ensino</v>
          </cell>
          <cell r="H302" t="str">
            <v>Port.UAME/06/2008</v>
          </cell>
          <cell r="J302">
            <v>39583</v>
          </cell>
        </row>
        <row r="320">
          <cell r="L320">
            <v>80</v>
          </cell>
        </row>
        <row r="324">
          <cell r="A324" t="str">
            <v>Graduação em Engenharia de Produção</v>
          </cell>
          <cell r="H324" t="str">
            <v>Port./UAME/022/2007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Meteorologia</v>
          </cell>
          <cell r="H328" t="str">
            <v>Port//UAME/014/2007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Participação da Comissão de elaboração do PPC do Curso Estatística</v>
          </cell>
          <cell r="J346">
            <v>39650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100</v>
          </cell>
          <cell r="D406">
            <v>180</v>
          </cell>
          <cell r="E406">
            <v>0</v>
          </cell>
          <cell r="F406">
            <v>360</v>
          </cell>
          <cell r="G406">
            <v>44</v>
          </cell>
          <cell r="H406">
            <v>0</v>
          </cell>
          <cell r="I406">
            <v>0</v>
          </cell>
          <cell r="J406">
            <v>0</v>
          </cell>
          <cell r="K406">
            <v>40</v>
          </cell>
          <cell r="L406">
            <v>12</v>
          </cell>
        </row>
        <row r="409">
          <cell r="A409">
            <v>0</v>
          </cell>
          <cell r="B409">
            <v>80</v>
          </cell>
          <cell r="C409">
            <v>0</v>
          </cell>
          <cell r="D409">
            <v>20</v>
          </cell>
          <cell r="E409">
            <v>836</v>
          </cell>
        </row>
      </sheetData>
      <sheetData sheetId="30">
        <row r="5">
          <cell r="L5">
            <v>840</v>
          </cell>
        </row>
        <row r="6">
          <cell r="L6">
            <v>800</v>
          </cell>
        </row>
        <row r="8">
          <cell r="L8">
            <v>840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O Computador como Instrumento de Ensino - T 01</v>
          </cell>
          <cell r="E57">
            <v>3</v>
          </cell>
          <cell r="F57">
            <v>60</v>
          </cell>
          <cell r="I57">
            <v>17</v>
          </cell>
          <cell r="J57">
            <v>14</v>
          </cell>
          <cell r="K57">
            <v>3</v>
          </cell>
          <cell r="L57">
            <v>0</v>
          </cell>
        </row>
        <row r="58">
          <cell r="A58" t="str">
            <v>Tópicos de Matemática Aplicada - T 01</v>
          </cell>
          <cell r="E58">
            <v>4</v>
          </cell>
          <cell r="F58">
            <v>60</v>
          </cell>
          <cell r="I58">
            <v>8</v>
          </cell>
          <cell r="J58">
            <v>7</v>
          </cell>
          <cell r="K58">
            <v>0</v>
          </cell>
          <cell r="L58">
            <v>1</v>
          </cell>
        </row>
        <row r="62">
          <cell r="E62">
            <v>7</v>
          </cell>
          <cell r="F62">
            <v>120</v>
          </cell>
          <cell r="G62">
            <v>120</v>
          </cell>
          <cell r="I62">
            <v>25</v>
          </cell>
          <cell r="J62">
            <v>21</v>
          </cell>
          <cell r="K62">
            <v>3</v>
          </cell>
          <cell r="L62">
            <v>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Allan Ramon Morais</v>
          </cell>
        </row>
        <row r="80">
          <cell r="A80" t="str">
            <v>O uso do computador ensino de matemática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  <cell r="G82">
            <v>39569</v>
          </cell>
          <cell r="H82" t="str">
            <v>29/02/09</v>
          </cell>
        </row>
        <row r="85">
          <cell r="A85" t="str">
            <v> Bruno Sérgio Vasconcelos de Araújo</v>
          </cell>
        </row>
        <row r="87">
          <cell r="A87" t="str">
            <v>Modelagem Numérica de Bacias Sedimentares</v>
          </cell>
          <cell r="J87" t="str">
            <v>CNPq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  <cell r="H89">
            <v>40298</v>
          </cell>
        </row>
        <row r="104">
          <cell r="L104">
            <v>90</v>
          </cell>
        </row>
        <row r="136">
          <cell r="L136">
            <v>0</v>
          </cell>
        </row>
        <row r="140">
          <cell r="A140" t="str">
            <v>Modelagem Numérica de Bacias Sedimentares</v>
          </cell>
          <cell r="I140" t="str">
            <v>ANP</v>
          </cell>
          <cell r="K140" t="str">
            <v>Em andamento</v>
          </cell>
        </row>
        <row r="142">
          <cell r="A142" t="str">
            <v>Matemática aplicada</v>
          </cell>
          <cell r="H142" t="str">
            <v>Coordenador</v>
          </cell>
          <cell r="J142">
            <v>39569</v>
          </cell>
        </row>
        <row r="166">
          <cell r="L166">
            <v>30</v>
          </cell>
        </row>
        <row r="196">
          <cell r="L196">
            <v>0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20</v>
          </cell>
        </row>
        <row r="291">
          <cell r="L291">
            <v>0</v>
          </cell>
        </row>
        <row r="295">
          <cell r="A295" t="str">
            <v>Coordenadora de Graduação da UAME</v>
          </cell>
          <cell r="H295" t="str">
            <v>Port. R/SRH/n.283, 14/03/2008</v>
          </cell>
          <cell r="J295">
            <v>39521</v>
          </cell>
          <cell r="K295">
            <v>40249</v>
          </cell>
        </row>
        <row r="298">
          <cell r="L298">
            <v>400</v>
          </cell>
        </row>
        <row r="302">
          <cell r="A302" t="str">
            <v>Comissão de Avaliação de Estágio Probatório (Profa. Michelli)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(Prof. Marcelo)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30</v>
          </cell>
        </row>
        <row r="324">
          <cell r="A324" t="str">
            <v>Camara Superior de Ensino</v>
          </cell>
          <cell r="H324" t="str">
            <v>Portaria /DCCT/No. 081/2008</v>
          </cell>
          <cell r="J324">
            <v>39633</v>
          </cell>
          <cell r="K324">
            <v>40362</v>
          </cell>
        </row>
        <row r="342">
          <cell r="L342">
            <v>30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90</v>
          </cell>
          <cell r="H406">
            <v>0</v>
          </cell>
          <cell r="I406">
            <v>30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400</v>
          </cell>
          <cell r="B409">
            <v>30</v>
          </cell>
          <cell r="C409">
            <v>30</v>
          </cell>
          <cell r="D409">
            <v>0</v>
          </cell>
          <cell r="E409">
            <v>840</v>
          </cell>
        </row>
      </sheetData>
      <sheetData sheetId="31">
        <row r="5">
          <cell r="L5">
            <v>840</v>
          </cell>
        </row>
        <row r="6">
          <cell r="L6">
            <v>800</v>
          </cell>
        </row>
        <row r="8">
          <cell r="L8">
            <v>809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35</v>
          </cell>
        </row>
        <row r="57">
          <cell r="A57" t="str">
            <v>Estatística Aplicada ao Design - T 01</v>
          </cell>
          <cell r="F57">
            <v>60</v>
          </cell>
          <cell r="I57">
            <v>33</v>
          </cell>
          <cell r="J57">
            <v>22</v>
          </cell>
          <cell r="K57">
            <v>7</v>
          </cell>
          <cell r="L57">
            <v>4</v>
          </cell>
        </row>
        <row r="58">
          <cell r="A58" t="str">
            <v>Estatística Descritiva - T 02</v>
          </cell>
          <cell r="F58">
            <v>60</v>
          </cell>
          <cell r="I58">
            <v>21</v>
          </cell>
          <cell r="J58">
            <v>10</v>
          </cell>
          <cell r="K58">
            <v>8</v>
          </cell>
          <cell r="L58">
            <v>3</v>
          </cell>
        </row>
        <row r="59">
          <cell r="A59" t="str">
            <v>Introdução à Probabilidade - T 01</v>
          </cell>
          <cell r="F59">
            <v>60</v>
          </cell>
          <cell r="I59">
            <v>35</v>
          </cell>
          <cell r="J59">
            <v>29</v>
          </cell>
          <cell r="K59">
            <v>3</v>
          </cell>
          <cell r="L59">
            <v>3</v>
          </cell>
        </row>
        <row r="62">
          <cell r="E62">
            <v>0</v>
          </cell>
          <cell r="F62">
            <v>180</v>
          </cell>
          <cell r="G62">
            <v>360</v>
          </cell>
          <cell r="I62">
            <v>89</v>
          </cell>
          <cell r="J62">
            <v>61</v>
          </cell>
          <cell r="K62">
            <v>18</v>
          </cell>
          <cell r="L62">
            <v>10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produção de artigo  cientifico</v>
          </cell>
        </row>
        <row r="142">
          <cell r="J142" t="str">
            <v>abril</v>
          </cell>
        </row>
        <row r="166">
          <cell r="L166">
            <v>100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Reunião da UAME</v>
          </cell>
        </row>
        <row r="306">
          <cell r="A306" t="str">
            <v>reunião da área de estatística</v>
          </cell>
        </row>
        <row r="320">
          <cell r="L320">
            <v>18</v>
          </cell>
        </row>
        <row r="324">
          <cell r="A324" t="str">
            <v>membro do colegiado do curso de graduação de Engenharia de Minas</v>
          </cell>
          <cell r="H324" t="str">
            <v> portaria nº13/2008</v>
          </cell>
          <cell r="J324">
            <v>39603</v>
          </cell>
        </row>
        <row r="328">
          <cell r="A328" t="str">
            <v> comissão  elaboração do Projeto Pedagógico do Curso de Estatística </v>
          </cell>
          <cell r="H328" t="str">
            <v>portaria nº078/2008</v>
          </cell>
          <cell r="J328" t="str">
            <v>21/0708</v>
          </cell>
        </row>
        <row r="332">
          <cell r="A332" t="str">
            <v>membro da comissão Permanente de Pessoal Docente</v>
          </cell>
          <cell r="H332" t="str">
            <v>portaria nº090</v>
          </cell>
          <cell r="J332">
            <v>39686</v>
          </cell>
        </row>
        <row r="342">
          <cell r="L342">
            <v>12</v>
          </cell>
        </row>
        <row r="346">
          <cell r="A346" t="str">
            <v>correção do texto de dissertação apresentada em fevereiro</v>
          </cell>
          <cell r="J346" t="str">
            <v>abril</v>
          </cell>
          <cell r="K346" t="str">
            <v>junho</v>
          </cell>
        </row>
        <row r="347">
          <cell r="A347" t="str">
            <v>processos de dispensa de disciplina</v>
          </cell>
        </row>
        <row r="353">
          <cell r="L353">
            <v>104</v>
          </cell>
        </row>
        <row r="358">
          <cell r="A358" t="str">
            <v>Simpósio Nacional de probabilidade e Estátistica</v>
          </cell>
          <cell r="I358">
            <v>39657</v>
          </cell>
          <cell r="J358">
            <v>39663</v>
          </cell>
          <cell r="K358" t="str">
            <v>ABE</v>
          </cell>
          <cell r="L358" t="str">
            <v>Nacional</v>
          </cell>
        </row>
        <row r="389">
          <cell r="A389" t="str">
            <v>UFRPE-DEINFO</v>
          </cell>
          <cell r="K389">
            <v>38232</v>
          </cell>
          <cell r="L389">
            <v>38234</v>
          </cell>
        </row>
        <row r="390">
          <cell r="C390" t="str">
            <v>realizar estudos cientificos </v>
          </cell>
        </row>
        <row r="406">
          <cell r="A406">
            <v>0</v>
          </cell>
          <cell r="B406">
            <v>0</v>
          </cell>
          <cell r="C406">
            <v>35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100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18</v>
          </cell>
          <cell r="C409">
            <v>12</v>
          </cell>
          <cell r="D409">
            <v>104</v>
          </cell>
          <cell r="E409">
            <v>809</v>
          </cell>
        </row>
      </sheetData>
      <sheetData sheetId="32">
        <row r="5">
          <cell r="L5">
            <v>840</v>
          </cell>
        </row>
        <row r="6">
          <cell r="L6">
            <v>800</v>
          </cell>
        </row>
        <row r="8">
          <cell r="L8">
            <v>780</v>
          </cell>
        </row>
        <row r="13">
          <cell r="C13" t="str">
            <v>Sérgio Mota Alves</v>
          </cell>
          <cell r="J13" t="str">
            <v>3134699-1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51">
          <cell r="L51">
            <v>30</v>
          </cell>
        </row>
        <row r="57">
          <cell r="A57" t="str">
            <v>Álgebra I - T 01</v>
          </cell>
          <cell r="E57">
            <v>4</v>
          </cell>
          <cell r="F57">
            <v>60</v>
          </cell>
          <cell r="I57">
            <v>17</v>
          </cell>
          <cell r="J57">
            <v>12</v>
          </cell>
          <cell r="K57">
            <v>5</v>
          </cell>
        </row>
        <row r="58">
          <cell r="A58" t="str">
            <v>Álgebra Linear I -  T 04</v>
          </cell>
          <cell r="E58">
            <v>4</v>
          </cell>
          <cell r="F58">
            <v>60</v>
          </cell>
          <cell r="I58">
            <v>63</v>
          </cell>
          <cell r="J58">
            <v>41</v>
          </cell>
          <cell r="K58">
            <v>11</v>
          </cell>
          <cell r="L58">
            <v>11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80</v>
          </cell>
          <cell r="J62">
            <v>53</v>
          </cell>
          <cell r="K62">
            <v>16</v>
          </cell>
          <cell r="L62">
            <v>11</v>
          </cell>
          <cell r="O62">
            <v>2</v>
          </cell>
        </row>
        <row r="69">
          <cell r="A69" t="str">
            <v>Curso de Leitura</v>
          </cell>
          <cell r="E69">
            <v>2</v>
          </cell>
          <cell r="F69">
            <v>30</v>
          </cell>
          <cell r="I69">
            <v>1</v>
          </cell>
          <cell r="J69">
            <v>1</v>
          </cell>
        </row>
        <row r="70">
          <cell r="A70" t="str">
            <v>Curso de Leitura</v>
          </cell>
          <cell r="E70">
            <v>2</v>
          </cell>
          <cell r="F70">
            <v>30</v>
          </cell>
          <cell r="I70">
            <v>1</v>
          </cell>
          <cell r="J70">
            <v>1</v>
          </cell>
        </row>
        <row r="71">
          <cell r="A71" t="str">
            <v>Curso de Leitura</v>
          </cell>
          <cell r="E71">
            <v>2</v>
          </cell>
          <cell r="F71">
            <v>30</v>
          </cell>
          <cell r="I71">
            <v>1</v>
          </cell>
          <cell r="J71">
            <v>1</v>
          </cell>
        </row>
        <row r="72">
          <cell r="A72" t="str">
            <v>Topicos de Álgebra</v>
          </cell>
          <cell r="E72">
            <v>4</v>
          </cell>
          <cell r="F72">
            <v>60</v>
          </cell>
          <cell r="I72">
            <v>4</v>
          </cell>
          <cell r="J72">
            <v>4</v>
          </cell>
        </row>
        <row r="74">
          <cell r="E74">
            <v>10</v>
          </cell>
          <cell r="F74">
            <v>150</v>
          </cell>
          <cell r="G74">
            <v>150</v>
          </cell>
          <cell r="I74">
            <v>7</v>
          </cell>
          <cell r="J74">
            <v>7</v>
          </cell>
          <cell r="K74">
            <v>0</v>
          </cell>
          <cell r="L74">
            <v>0</v>
          </cell>
          <cell r="O74">
            <v>4</v>
          </cell>
        </row>
        <row r="78">
          <cell r="A78" t="str">
            <v>Julio Cezar</v>
          </cell>
        </row>
        <row r="80">
          <cell r="A80" t="str">
            <v>Introdução a Álgebra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39264</v>
          </cell>
        </row>
        <row r="104">
          <cell r="L104">
            <v>60</v>
          </cell>
        </row>
        <row r="110">
          <cell r="A110" t="str">
            <v>Rivaldo do Nascimento Junior</v>
          </cell>
        </row>
        <row r="112">
          <cell r="A112" t="str">
            <v>Matrizes Triangulares em Blocos</v>
          </cell>
        </row>
        <row r="114">
          <cell r="G114">
            <v>39142</v>
          </cell>
        </row>
        <row r="117">
          <cell r="A117" t="str">
            <v>Suene Ferreira Campos</v>
          </cell>
        </row>
        <row r="119">
          <cell r="A119" t="str">
            <v>O Teorema  do Produto Tensorial de Kemer</v>
          </cell>
          <cell r="J119" t="str">
            <v>CNPq</v>
          </cell>
        </row>
        <row r="121">
          <cell r="G121">
            <v>39142</v>
          </cell>
        </row>
        <row r="124">
          <cell r="A124" t="str">
            <v>Carlos David Lobão</v>
          </cell>
        </row>
        <row r="126">
          <cell r="A126" t="str">
            <v>GK-Dimensão</v>
          </cell>
        </row>
        <row r="128">
          <cell r="G128" t="str">
            <v>01.03.08</v>
          </cell>
        </row>
        <row r="136">
          <cell r="L136">
            <v>90</v>
          </cell>
        </row>
        <row r="140">
          <cell r="A140" t="str">
            <v>Dimensão de Gelfand-Kirillov</v>
          </cell>
          <cell r="K140" t="str">
            <v>Em andamento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39264</v>
          </cell>
        </row>
        <row r="147">
          <cell r="A147" t="str">
            <v>Polinômios Centrais Graduados para Matrizes sobre Corpos Infinitos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Coordenador</v>
          </cell>
          <cell r="J149">
            <v>39508</v>
          </cell>
        </row>
        <row r="154">
          <cell r="A154" t="str">
            <v>Identidades e Polinômios Centrais Graduados para Matrizes Triangulares em Blocos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Coordenador</v>
          </cell>
          <cell r="J156">
            <v>39489</v>
          </cell>
        </row>
        <row r="166">
          <cell r="L166">
            <v>40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46">
          <cell r="A346" t="str">
            <v>Assembléias Departamentais</v>
          </cell>
        </row>
        <row r="353">
          <cell r="L353">
            <v>16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120</v>
          </cell>
          <cell r="E406">
            <v>150</v>
          </cell>
          <cell r="F406">
            <v>270</v>
          </cell>
          <cell r="G406">
            <v>60</v>
          </cell>
          <cell r="H406">
            <v>90</v>
          </cell>
          <cell r="I406">
            <v>40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4</v>
          </cell>
          <cell r="D409">
            <v>16</v>
          </cell>
          <cell r="E409">
            <v>780</v>
          </cell>
        </row>
      </sheetData>
      <sheetData sheetId="33">
        <row r="5">
          <cell r="L5">
            <v>840</v>
          </cell>
        </row>
        <row r="6">
          <cell r="L6">
            <v>800</v>
          </cell>
        </row>
        <row r="8">
          <cell r="L8">
            <v>764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02</v>
          </cell>
          <cell r="E57">
            <v>4</v>
          </cell>
          <cell r="F57">
            <v>60</v>
          </cell>
          <cell r="I57">
            <v>61</v>
          </cell>
          <cell r="J57">
            <v>24</v>
          </cell>
          <cell r="K57">
            <v>11</v>
          </cell>
          <cell r="L57">
            <v>26</v>
          </cell>
        </row>
        <row r="58">
          <cell r="A58" t="str">
            <v>Cálculo Diferencial e Integral II - T 04</v>
          </cell>
          <cell r="E58">
            <v>4</v>
          </cell>
          <cell r="F58">
            <v>60</v>
          </cell>
          <cell r="I58">
            <v>61</v>
          </cell>
          <cell r="J58">
            <v>25</v>
          </cell>
          <cell r="K58">
            <v>10</v>
          </cell>
          <cell r="L58">
            <v>26</v>
          </cell>
        </row>
        <row r="59">
          <cell r="A59" t="str">
            <v>Cálculo Difer. e Integral II (Comp.+Elétr.) - T 02</v>
          </cell>
          <cell r="E59">
            <v>4</v>
          </cell>
          <cell r="F59">
            <v>60</v>
          </cell>
          <cell r="I59">
            <v>60</v>
          </cell>
          <cell r="J59">
            <v>25</v>
          </cell>
          <cell r="K59">
            <v>12</v>
          </cell>
          <cell r="L59">
            <v>23</v>
          </cell>
        </row>
        <row r="62">
          <cell r="E62">
            <v>12</v>
          </cell>
          <cell r="F62">
            <v>180</v>
          </cell>
          <cell r="G62">
            <v>270</v>
          </cell>
          <cell r="I62">
            <v>182</v>
          </cell>
          <cell r="J62">
            <v>74</v>
          </cell>
          <cell r="K62">
            <v>33</v>
          </cell>
          <cell r="L62">
            <v>75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Alysson Vasconcelos Gomes de Menezes</v>
          </cell>
        </row>
        <row r="80">
          <cell r="A80" t="str">
            <v>Projeto de Monitoria da UAME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39560</v>
          </cell>
          <cell r="H82">
            <v>39685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Colaborador </v>
          </cell>
        </row>
        <row r="184">
          <cell r="E184" t="str">
            <v>Alunos dos ensino fundamental e médio das escolas públicas do estado da Paraíba</v>
          </cell>
          <cell r="I184" t="str">
            <v>Escolas públicas do estado e UFCG</v>
          </cell>
        </row>
        <row r="196">
          <cell r="L196">
            <v>110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Coordenação da equipe de disciplina de Cálculo Diferencial e Integral II</v>
          </cell>
        </row>
        <row r="320">
          <cell r="L320">
            <v>40</v>
          </cell>
        </row>
        <row r="324">
          <cell r="A324" t="str">
            <v>Graduação em Administração</v>
          </cell>
          <cell r="H324" t="str">
            <v>Port./UAME/019/2007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Matemática</v>
          </cell>
          <cell r="H328" t="str">
            <v>Port/UAME/007/2007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16</v>
          </cell>
        </row>
        <row r="346">
          <cell r="A346" t="str">
            <v>PROCESSOS RELATADOS: 002660/08-54; 002959/08-00; 005345/08-65; 009319/08-43; 009493/08-73; 009813/08-76; 005345/08-65</v>
          </cell>
        </row>
        <row r="347">
          <cell r="A347" t="str">
            <v>006122/08-54; 018093/08-43; 018557/08-54; 021931/08-21; 023039/08-00; 023040/08-10</v>
          </cell>
        </row>
        <row r="348">
          <cell r="A348" t="str">
            <v>Minicurso: Aplicação da derivada na solução de problemas econômicos. Na FAFOPAI </v>
          </cell>
          <cell r="J348">
            <v>39682</v>
          </cell>
          <cell r="K348">
            <v>39683</v>
          </cell>
        </row>
        <row r="349">
          <cell r="A349" t="str">
            <v>Reunião da UAME</v>
          </cell>
        </row>
        <row r="350">
          <cell r="A350" t="str">
            <v>COMISSÃO DE AVALIAÇÃO DA PROVA DE MATEMÁTICA, PRIMEIRA E SEGUNDA ETAPAS DO CONCURSO VESTIBULAR 2008 DA UFCG.</v>
          </cell>
          <cell r="K350">
            <v>39637</v>
          </cell>
        </row>
        <row r="353">
          <cell r="L353">
            <v>68</v>
          </cell>
        </row>
        <row r="389">
          <cell r="A389" t="str">
            <v>Faculdade de Formação de Professores de Afogados da Ingazeira</v>
          </cell>
          <cell r="K389">
            <v>39668</v>
          </cell>
          <cell r="L389">
            <v>39669</v>
          </cell>
        </row>
        <row r="390">
          <cell r="C390" t="str">
            <v>Palestra: A aplicação do Cálculo na Prática e Conferência: O Paradoxo de Zenon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270</v>
          </cell>
          <cell r="G406">
            <v>80</v>
          </cell>
          <cell r="H406">
            <v>0</v>
          </cell>
          <cell r="I406">
            <v>0</v>
          </cell>
          <cell r="J406">
            <v>110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40</v>
          </cell>
          <cell r="C409">
            <v>16</v>
          </cell>
          <cell r="D409">
            <v>68</v>
          </cell>
          <cell r="E409">
            <v>764</v>
          </cell>
        </row>
      </sheetData>
      <sheetData sheetId="34">
        <row r="5">
          <cell r="L5">
            <v>840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(Elétrica+Computação) - T 01</v>
          </cell>
          <cell r="E57">
            <v>4</v>
          </cell>
          <cell r="F57">
            <v>60</v>
          </cell>
          <cell r="I57">
            <v>59</v>
          </cell>
          <cell r="J57">
            <v>44</v>
          </cell>
          <cell r="K57">
            <v>5</v>
          </cell>
          <cell r="L57">
            <v>10</v>
          </cell>
        </row>
        <row r="58">
          <cell r="A58" t="str">
            <v>Álgebra Linear I - T 06</v>
          </cell>
          <cell r="E58">
            <v>4</v>
          </cell>
          <cell r="F58">
            <v>60</v>
          </cell>
          <cell r="I58">
            <v>58</v>
          </cell>
          <cell r="J58">
            <v>29</v>
          </cell>
          <cell r="K58">
            <v>14</v>
          </cell>
          <cell r="L58">
            <v>15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117</v>
          </cell>
          <cell r="J62">
            <v>73</v>
          </cell>
          <cell r="K62">
            <v>19</v>
          </cell>
          <cell r="L62">
            <v>25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Fontes de Sousa</v>
          </cell>
        </row>
        <row r="80">
          <cell r="A80" t="str">
            <v>Geometria Diferencial de Superfícies - Áspectos Locais e Globais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85">
          <cell r="A85" t="str">
            <v>Karina / Allan</v>
          </cell>
        </row>
        <row r="87">
          <cell r="A87" t="str">
            <v>Uso do Computador no Ensino de Matemática</v>
          </cell>
          <cell r="J87" t="str">
            <v>UFCG</v>
          </cell>
        </row>
        <row r="89">
          <cell r="A89" t="str">
            <v>PROLICEN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Comissão de Seleção do Mestrado</v>
          </cell>
          <cell r="H271" t="str">
            <v>PPGMAT/UAME</v>
          </cell>
          <cell r="K271">
            <v>39630</v>
          </cell>
        </row>
        <row r="272">
          <cell r="B272" t="str">
            <v>Banca de seleção de alunos para o mestrado</v>
          </cell>
        </row>
        <row r="274">
          <cell r="A274" t="str">
            <v>Membro da banca de concurso para prof. Efetivo UFAL/Ararapiraca</v>
          </cell>
          <cell r="H274" t="str">
            <v>UFAL/ARAPIRACA</v>
          </cell>
          <cell r="K274">
            <v>39584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5</v>
          </cell>
        </row>
        <row r="295">
          <cell r="A295" t="str">
            <v>Coordenador de Pesquisa e Extensão da UAME/CCT/UFCG</v>
          </cell>
          <cell r="H295" t="str">
            <v>Port./R/SRH/Nº 287/2008</v>
          </cell>
          <cell r="J295">
            <v>39520</v>
          </cell>
          <cell r="K295">
            <v>40249</v>
          </cell>
        </row>
        <row r="298">
          <cell r="L298">
            <v>240</v>
          </cell>
        </row>
        <row r="302">
          <cell r="A302" t="str">
            <v>Comissão de Avaliação de Estágio Probatório do Prof. Jesualdo</v>
          </cell>
          <cell r="H302" t="str">
            <v>Port./UAME/008/2006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do Profa.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Comissão de Elaboração do Regimento Interno da UAME</v>
          </cell>
          <cell r="H310" t="str">
            <v>Port./UAME/</v>
          </cell>
          <cell r="J310">
            <v>39489</v>
          </cell>
          <cell r="K310">
            <v>39732</v>
          </cell>
        </row>
        <row r="320">
          <cell r="L320">
            <v>35</v>
          </cell>
        </row>
        <row r="342">
          <cell r="L342">
            <v>0</v>
          </cell>
        </row>
        <row r="353">
          <cell r="L353">
            <v>40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240</v>
          </cell>
          <cell r="G406">
            <v>120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5</v>
          </cell>
        </row>
        <row r="409">
          <cell r="A409">
            <v>240</v>
          </cell>
          <cell r="B409">
            <v>35</v>
          </cell>
          <cell r="C409">
            <v>0</v>
          </cell>
          <cell r="D409">
            <v>40</v>
          </cell>
          <cell r="E409">
            <v>800</v>
          </cell>
        </row>
      </sheetData>
      <sheetData sheetId="35">
        <row r="5">
          <cell r="L5">
            <v>840</v>
          </cell>
        </row>
        <row r="6">
          <cell r="L6">
            <v>800</v>
          </cell>
        </row>
        <row r="8">
          <cell r="L8">
            <v>315</v>
          </cell>
        </row>
        <row r="13">
          <cell r="C13" t="str">
            <v>Areli Mesquita da Silva</v>
          </cell>
          <cell r="J13" t="str">
            <v>1580167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39324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0">
          <cell r="A30" t="str">
            <v>Licença por motivo de doença em pessoa da família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- T 04</v>
          </cell>
          <cell r="E57">
            <v>6</v>
          </cell>
          <cell r="F57">
            <v>90</v>
          </cell>
          <cell r="I57">
            <v>16</v>
          </cell>
          <cell r="J57">
            <v>7</v>
          </cell>
          <cell r="K57">
            <v>7</v>
          </cell>
          <cell r="L57">
            <v>2</v>
          </cell>
        </row>
        <row r="58">
          <cell r="A58" t="str">
            <v>Probabilidade e Estatística (Comp.+Elétr.) -T 01</v>
          </cell>
          <cell r="E58">
            <v>4</v>
          </cell>
          <cell r="F58">
            <v>60</v>
          </cell>
          <cell r="I58">
            <v>40</v>
          </cell>
          <cell r="J58">
            <v>28</v>
          </cell>
          <cell r="K58">
            <v>8</v>
          </cell>
          <cell r="L58">
            <v>4</v>
          </cell>
        </row>
        <row r="59">
          <cell r="A59" t="str">
            <v>Probabilidade e Estatística (Comp.+Elétr.) -T 02</v>
          </cell>
          <cell r="E59">
            <v>4</v>
          </cell>
          <cell r="F59">
            <v>60</v>
          </cell>
          <cell r="I59">
            <v>56</v>
          </cell>
          <cell r="J59">
            <v>20</v>
          </cell>
          <cell r="K59">
            <v>22</v>
          </cell>
          <cell r="L59">
            <v>14</v>
          </cell>
        </row>
        <row r="62">
          <cell r="E62">
            <v>14</v>
          </cell>
          <cell r="F62">
            <v>210</v>
          </cell>
          <cell r="G62">
            <v>105</v>
          </cell>
          <cell r="I62">
            <v>112</v>
          </cell>
          <cell r="J62">
            <v>55</v>
          </cell>
          <cell r="K62">
            <v>37</v>
          </cell>
          <cell r="L62">
            <v>20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105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315</v>
          </cell>
        </row>
      </sheetData>
      <sheetData sheetId="36">
        <row r="5">
          <cell r="L5">
            <v>440</v>
          </cell>
        </row>
        <row r="6">
          <cell r="L6">
            <v>440</v>
          </cell>
        </row>
        <row r="8">
          <cell r="L8">
            <v>440</v>
          </cell>
        </row>
        <row r="13">
          <cell r="C13" t="str">
            <v>Cícero Januário Guimarães </v>
          </cell>
          <cell r="J13" t="str">
            <v>1541942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39632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05</v>
          </cell>
          <cell r="E57">
            <v>2.4</v>
          </cell>
          <cell r="F57">
            <v>36</v>
          </cell>
        </row>
        <row r="58">
          <cell r="A58" t="str">
            <v>Álgebra Vetorial e Geometria Analítica - T 06</v>
          </cell>
          <cell r="E58">
            <v>2.4</v>
          </cell>
          <cell r="F58">
            <v>36</v>
          </cell>
        </row>
        <row r="59">
          <cell r="A59" t="str">
            <v>Cálculo Difer. e Integral II (Comp.+Elétr.) - T 01</v>
          </cell>
          <cell r="E59">
            <v>2.5</v>
          </cell>
          <cell r="F59">
            <v>38</v>
          </cell>
        </row>
        <row r="60">
          <cell r="A60" t="str">
            <v>Matemática Aplicada à Administração I - T 01</v>
          </cell>
          <cell r="E60">
            <v>2.8</v>
          </cell>
          <cell r="F60">
            <v>42</v>
          </cell>
        </row>
        <row r="62">
          <cell r="E62">
            <v>10.1</v>
          </cell>
          <cell r="F62">
            <v>152</v>
          </cell>
          <cell r="G62">
            <v>288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Izabel Cristhina Gomes Duarte</v>
          </cell>
        </row>
        <row r="80">
          <cell r="A80" t="str">
            <v>Monitoria( Matemática Aplicada à Adminstração I)</v>
          </cell>
        </row>
        <row r="82">
          <cell r="A82" t="str">
            <v>Monitoria</v>
          </cell>
          <cell r="G82">
            <v>39372</v>
          </cell>
          <cell r="H82">
            <v>39538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152</v>
          </cell>
          <cell r="E406">
            <v>0</v>
          </cell>
          <cell r="F406">
            <v>288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440</v>
          </cell>
        </row>
      </sheetData>
      <sheetData sheetId="37">
        <row r="5">
          <cell r="L5">
            <v>840</v>
          </cell>
        </row>
        <row r="6">
          <cell r="L6">
            <v>800</v>
          </cell>
        </row>
        <row r="8">
          <cell r="L8">
            <v>480</v>
          </cell>
        </row>
        <row r="13">
          <cell r="C13" t="str">
            <v>Fernanda Clara de França Silva</v>
          </cell>
          <cell r="J13" t="str">
            <v>1614847-7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39663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03</v>
          </cell>
          <cell r="E57">
            <v>4</v>
          </cell>
          <cell r="F57">
            <v>60</v>
          </cell>
          <cell r="I57">
            <v>60</v>
          </cell>
          <cell r="J57">
            <v>38</v>
          </cell>
          <cell r="K57">
            <v>9</v>
          </cell>
          <cell r="L57">
            <v>13</v>
          </cell>
        </row>
        <row r="58">
          <cell r="A58" t="str">
            <v>Matemática Aplicada à Administração II - T 01</v>
          </cell>
          <cell r="E58">
            <v>4</v>
          </cell>
          <cell r="F58">
            <v>60</v>
          </cell>
          <cell r="I58">
            <v>24</v>
          </cell>
          <cell r="J58">
            <v>17</v>
          </cell>
          <cell r="K58">
            <v>7</v>
          </cell>
          <cell r="L58">
            <v>0</v>
          </cell>
        </row>
        <row r="59">
          <cell r="A59" t="str">
            <v>Matemática Aplicada à Administração II - T 02</v>
          </cell>
          <cell r="E59">
            <v>4</v>
          </cell>
          <cell r="F59">
            <v>60</v>
          </cell>
          <cell r="I59">
            <v>34</v>
          </cell>
          <cell r="J59">
            <v>24</v>
          </cell>
          <cell r="K59">
            <v>10</v>
          </cell>
          <cell r="L59">
            <v>0</v>
          </cell>
        </row>
        <row r="60">
          <cell r="A60" t="str">
            <v>Métodos Quantitativos I - T 01</v>
          </cell>
          <cell r="E60">
            <v>4</v>
          </cell>
          <cell r="F60">
            <v>60</v>
          </cell>
          <cell r="I60">
            <v>60</v>
          </cell>
          <cell r="J60">
            <v>36</v>
          </cell>
          <cell r="K60">
            <v>17</v>
          </cell>
          <cell r="L60">
            <v>7</v>
          </cell>
        </row>
        <row r="62">
          <cell r="E62">
            <v>16</v>
          </cell>
          <cell r="F62">
            <v>240</v>
          </cell>
          <cell r="G62">
            <v>120</v>
          </cell>
          <cell r="I62">
            <v>178</v>
          </cell>
          <cell r="J62">
            <v>115</v>
          </cell>
          <cell r="K62">
            <v>43</v>
          </cell>
          <cell r="L62">
            <v>20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Téssio Rogério Nóbrega Borja de Melo</v>
          </cell>
        </row>
        <row r="80">
          <cell r="A80" t="str">
            <v>Melhoria do Ensino de Graduação na UAME-CCT/UFCG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39573</v>
          </cell>
        </row>
        <row r="85">
          <cell r="A85" t="str">
            <v>Antides Victor de Araújo</v>
          </cell>
        </row>
        <row r="87">
          <cell r="A87" t="str">
            <v>A Monitoria e os Novos Desafios da Educação</v>
          </cell>
          <cell r="J87" t="str">
            <v>UFCG</v>
          </cell>
          <cell r="L87" t="str">
            <v>Em andamento</v>
          </cell>
        </row>
        <row r="89">
          <cell r="A89" t="str">
            <v>Monitoria</v>
          </cell>
          <cell r="G89">
            <v>39560</v>
          </cell>
        </row>
        <row r="92">
          <cell r="A92" t="str">
            <v>Álvaro Furtado Coelho Júnior</v>
          </cell>
        </row>
        <row r="94">
          <cell r="A94" t="str">
            <v>A Monitoria e os Novos Desafios da Educação</v>
          </cell>
          <cell r="J94" t="str">
            <v>UFCG</v>
          </cell>
          <cell r="L94" t="str">
            <v>Em andamento</v>
          </cell>
        </row>
        <row r="96">
          <cell r="A96" t="str">
            <v>Monitoria</v>
          </cell>
          <cell r="G96">
            <v>39560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120</v>
          </cell>
          <cell r="G406">
            <v>120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480</v>
          </cell>
        </row>
      </sheetData>
      <sheetData sheetId="38">
        <row r="5">
          <cell r="L5">
            <v>400</v>
          </cell>
        </row>
        <row r="6">
          <cell r="L6">
            <v>360</v>
          </cell>
        </row>
        <row r="8">
          <cell r="L8">
            <v>450</v>
          </cell>
        </row>
        <row r="13">
          <cell r="C13" t="str">
            <v>Grayci Mary Gonçalves Leal</v>
          </cell>
          <cell r="J13" t="str">
            <v>1637828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39631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Estatística- T 03</v>
          </cell>
          <cell r="E57">
            <v>4</v>
          </cell>
          <cell r="F57">
            <v>60</v>
          </cell>
          <cell r="I57">
            <v>40</v>
          </cell>
          <cell r="J57">
            <v>21</v>
          </cell>
          <cell r="K57">
            <v>11</v>
          </cell>
          <cell r="L57">
            <v>8</v>
          </cell>
        </row>
        <row r="58">
          <cell r="A58" t="str">
            <v>Estatística Aplic. a C. Sociais II -T 01 </v>
          </cell>
          <cell r="E58">
            <v>3</v>
          </cell>
          <cell r="F58">
            <v>45</v>
          </cell>
          <cell r="I58">
            <v>19</v>
          </cell>
          <cell r="J58">
            <v>9</v>
          </cell>
          <cell r="K58">
            <v>8</v>
          </cell>
          <cell r="L58">
            <v>2</v>
          </cell>
        </row>
        <row r="59">
          <cell r="A59" t="str">
            <v>Estatística Descritiva – T 01</v>
          </cell>
          <cell r="E59">
            <v>3</v>
          </cell>
          <cell r="F59">
            <v>45</v>
          </cell>
          <cell r="I59">
            <v>30</v>
          </cell>
          <cell r="J59">
            <v>25</v>
          </cell>
          <cell r="K59">
            <v>2</v>
          </cell>
          <cell r="L59">
            <v>3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89</v>
          </cell>
          <cell r="J62">
            <v>55</v>
          </cell>
          <cell r="K62">
            <v>21</v>
          </cell>
          <cell r="L62">
            <v>13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Izabel Cristhina Gomes Duarte</v>
          </cell>
        </row>
        <row r="80">
          <cell r="A80" t="str">
            <v>Monitoria( Matemática Aplicada à Adminstração I)</v>
          </cell>
        </row>
        <row r="82">
          <cell r="A82" t="str">
            <v>Monitoria</v>
          </cell>
          <cell r="G82">
            <v>39372</v>
          </cell>
          <cell r="H82">
            <v>39538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300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450</v>
          </cell>
        </row>
      </sheetData>
      <sheetData sheetId="39">
        <row r="5">
          <cell r="L5">
            <v>840</v>
          </cell>
        </row>
        <row r="6">
          <cell r="L6">
            <v>320</v>
          </cell>
        </row>
        <row r="8">
          <cell r="L8">
            <v>165</v>
          </cell>
        </row>
        <row r="13">
          <cell r="C13" t="str">
            <v>Hallyson Gustavo Guedes de M. Lima</v>
          </cell>
          <cell r="J13" t="str">
            <v>1575786-1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39280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39611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01</v>
          </cell>
          <cell r="E57">
            <v>1.5</v>
          </cell>
          <cell r="F57">
            <v>13</v>
          </cell>
        </row>
        <row r="58">
          <cell r="A58" t="str">
            <v>Cálculo Difer. e Integral I (Comp.+Elétr.) - T 03</v>
          </cell>
          <cell r="E58">
            <v>1.5</v>
          </cell>
          <cell r="F58">
            <v>12</v>
          </cell>
        </row>
        <row r="59">
          <cell r="A59" t="str">
            <v>Cálculo Diferencial e Integral II - T 01</v>
          </cell>
          <cell r="E59">
            <v>1.5</v>
          </cell>
          <cell r="F59">
            <v>15</v>
          </cell>
        </row>
        <row r="60">
          <cell r="A60" t="str">
            <v>Cálculo Diferencial e Integral II - T 03</v>
          </cell>
          <cell r="E60">
            <v>1.5</v>
          </cell>
          <cell r="F60">
            <v>15</v>
          </cell>
        </row>
        <row r="62">
          <cell r="E62">
            <v>6</v>
          </cell>
          <cell r="F62">
            <v>55</v>
          </cell>
          <cell r="G62">
            <v>110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55</v>
          </cell>
          <cell r="E406">
            <v>0</v>
          </cell>
          <cell r="F406">
            <v>110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165</v>
          </cell>
        </row>
      </sheetData>
      <sheetData sheetId="40">
        <row r="4">
          <cell r="H4" t="str">
            <v>2008.1</v>
          </cell>
        </row>
        <row r="5">
          <cell r="L5">
            <v>400</v>
          </cell>
        </row>
        <row r="6">
          <cell r="L6">
            <v>360</v>
          </cell>
        </row>
        <row r="8">
          <cell r="L8">
            <v>382</v>
          </cell>
        </row>
        <row r="13">
          <cell r="C13" t="str">
            <v>Hugo Bezerra Borba de Araújo</v>
          </cell>
          <cell r="J13" t="str">
            <v>7333022-0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39631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Calculo Dif. E Integral I (Comp+Eltr.) T 03</v>
          </cell>
          <cell r="E57">
            <v>2.5</v>
          </cell>
          <cell r="F57">
            <v>48</v>
          </cell>
          <cell r="I57">
            <v>40</v>
          </cell>
          <cell r="J57">
            <v>9</v>
          </cell>
          <cell r="K57">
            <v>7</v>
          </cell>
          <cell r="L57">
            <v>24</v>
          </cell>
        </row>
        <row r="58">
          <cell r="A58" t="str">
            <v>Cálculo Diferencial e Integral II - T 01</v>
          </cell>
          <cell r="E58">
            <v>2.5</v>
          </cell>
          <cell r="F58">
            <v>45</v>
          </cell>
          <cell r="I58">
            <v>61</v>
          </cell>
          <cell r="J58">
            <v>33</v>
          </cell>
          <cell r="K58">
            <v>6</v>
          </cell>
          <cell r="L58">
            <v>22</v>
          </cell>
        </row>
        <row r="59">
          <cell r="A59" t="str">
            <v>Cálculo Diferencial e Integral II - T 03</v>
          </cell>
          <cell r="E59">
            <v>2.5</v>
          </cell>
          <cell r="F59">
            <v>45</v>
          </cell>
          <cell r="I59">
            <v>62</v>
          </cell>
          <cell r="J59">
            <v>31</v>
          </cell>
          <cell r="K59">
            <v>11</v>
          </cell>
          <cell r="L59">
            <v>20</v>
          </cell>
        </row>
        <row r="60">
          <cell r="A60" t="str">
            <v>Álgebra Vetorial e Geometria Analítica - T01</v>
          </cell>
          <cell r="E60">
            <v>2.5</v>
          </cell>
          <cell r="F60">
            <v>44</v>
          </cell>
          <cell r="I60">
            <v>60</v>
          </cell>
          <cell r="J60">
            <v>50</v>
          </cell>
          <cell r="K60">
            <v>3</v>
          </cell>
          <cell r="L60">
            <v>7</v>
          </cell>
        </row>
        <row r="62">
          <cell r="E62">
            <v>10</v>
          </cell>
          <cell r="F62">
            <v>182</v>
          </cell>
          <cell r="G62">
            <v>200</v>
          </cell>
          <cell r="I62">
            <v>223</v>
          </cell>
          <cell r="J62">
            <v>123</v>
          </cell>
          <cell r="K62">
            <v>27</v>
          </cell>
          <cell r="L62">
            <v>73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182</v>
          </cell>
          <cell r="E406">
            <v>0</v>
          </cell>
          <cell r="F406">
            <v>200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382</v>
          </cell>
        </row>
      </sheetData>
      <sheetData sheetId="41">
        <row r="5">
          <cell r="L5">
            <v>360</v>
          </cell>
        </row>
        <row r="6">
          <cell r="L6">
            <v>320</v>
          </cell>
        </row>
        <row r="8">
          <cell r="L8">
            <v>264</v>
          </cell>
        </row>
        <row r="13">
          <cell r="C13" t="str">
            <v> Ivaldo Maciel de Brito</v>
          </cell>
          <cell r="J13" t="str">
            <v>8334047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39636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T 05</v>
          </cell>
          <cell r="E57">
            <v>1.6</v>
          </cell>
          <cell r="F57">
            <v>24</v>
          </cell>
          <cell r="I57">
            <v>60</v>
          </cell>
          <cell r="J57">
            <v>22</v>
          </cell>
          <cell r="K57">
            <v>9</v>
          </cell>
          <cell r="L57">
            <v>29</v>
          </cell>
        </row>
        <row r="58">
          <cell r="A58" t="str">
            <v>Álgebra Vetorial e Geometria Analítica T 06</v>
          </cell>
          <cell r="E58">
            <v>1.6</v>
          </cell>
          <cell r="F58">
            <v>24</v>
          </cell>
          <cell r="I58">
            <v>60</v>
          </cell>
          <cell r="J58">
            <v>13</v>
          </cell>
          <cell r="K58">
            <v>8</v>
          </cell>
          <cell r="L58">
            <v>39</v>
          </cell>
        </row>
        <row r="59">
          <cell r="A59" t="str">
            <v>Cálculo Dif. e Integral II (Comp.+Eltr.) T 01</v>
          </cell>
          <cell r="E59">
            <v>1.5</v>
          </cell>
          <cell r="F59">
            <v>22</v>
          </cell>
          <cell r="I59">
            <v>61</v>
          </cell>
          <cell r="J59">
            <v>43</v>
          </cell>
          <cell r="K59">
            <v>3</v>
          </cell>
          <cell r="L59">
            <v>15</v>
          </cell>
        </row>
        <row r="60">
          <cell r="A60" t="str">
            <v>Matemática Aplicada à Administração I - T 01</v>
          </cell>
          <cell r="E60">
            <v>1.2</v>
          </cell>
          <cell r="F60">
            <v>18</v>
          </cell>
          <cell r="I60">
            <v>60</v>
          </cell>
          <cell r="J60">
            <v>28</v>
          </cell>
          <cell r="K60">
            <v>17</v>
          </cell>
          <cell r="L60">
            <v>15</v>
          </cell>
        </row>
        <row r="62">
          <cell r="E62">
            <v>5.9</v>
          </cell>
          <cell r="F62">
            <v>88</v>
          </cell>
          <cell r="G62">
            <v>176</v>
          </cell>
          <cell r="I62">
            <v>241</v>
          </cell>
          <cell r="J62">
            <v>106</v>
          </cell>
          <cell r="K62">
            <v>37</v>
          </cell>
          <cell r="L62">
            <v>98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Izabel Cristhina Gomes Duarte</v>
          </cell>
        </row>
        <row r="80">
          <cell r="A80" t="str">
            <v>Monitoria( Matemática Aplicada à Adminstração I)</v>
          </cell>
        </row>
        <row r="82">
          <cell r="A82" t="str">
            <v>Monitoria</v>
          </cell>
          <cell r="G82">
            <v>39372</v>
          </cell>
          <cell r="H82">
            <v>39538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88</v>
          </cell>
          <cell r="E406">
            <v>0</v>
          </cell>
          <cell r="F406">
            <v>176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264</v>
          </cell>
        </row>
      </sheetData>
      <sheetData sheetId="42">
        <row r="5">
          <cell r="L5">
            <v>400</v>
          </cell>
        </row>
        <row r="6">
          <cell r="L6">
            <v>400</v>
          </cell>
        </row>
        <row r="8">
          <cell r="L8">
            <v>320</v>
          </cell>
        </row>
        <row r="13">
          <cell r="C13" t="str">
            <v>José Iraponil Costa Lima</v>
          </cell>
          <cell r="J13" t="str">
            <v>1503651-9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39629</v>
          </cell>
          <cell r="L15" t="str">
            <v>Fim Contr.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Curso de mestrado vinculado a UFCG ou não</v>
          </cell>
          <cell r="K36">
            <v>39153</v>
          </cell>
        </row>
        <row r="38">
          <cell r="A38" t="str">
            <v>Preparação da dissertação</v>
          </cell>
        </row>
        <row r="51">
          <cell r="L51">
            <v>120</v>
          </cell>
        </row>
        <row r="57">
          <cell r="A57" t="str">
            <v>Probabilidade e Estatística- T 03</v>
          </cell>
          <cell r="E57">
            <v>2</v>
          </cell>
          <cell r="F57">
            <v>30</v>
          </cell>
        </row>
        <row r="58">
          <cell r="A58" t="str">
            <v>Estatística Aplic. a C. Sociais II -T 01 </v>
          </cell>
          <cell r="E58">
            <v>1</v>
          </cell>
          <cell r="F58">
            <v>15</v>
          </cell>
        </row>
        <row r="59">
          <cell r="A59" t="str">
            <v>Estatística Descritiva – T 01</v>
          </cell>
          <cell r="E59">
            <v>1</v>
          </cell>
          <cell r="F59">
            <v>15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Júlio César Medeiros Diniz</v>
          </cell>
        </row>
        <row r="80">
          <cell r="A80" t="str">
            <v>Monitoria de Probabilidade e Estatística</v>
          </cell>
          <cell r="L80" t="str">
            <v>Concluído</v>
          </cell>
        </row>
        <row r="82">
          <cell r="A82" t="str">
            <v>Monitoria</v>
          </cell>
          <cell r="G82">
            <v>39370</v>
          </cell>
          <cell r="H82">
            <v>39438</v>
          </cell>
        </row>
        <row r="104">
          <cell r="L104">
            <v>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60</v>
          </cell>
          <cell r="E406">
            <v>0</v>
          </cell>
          <cell r="F406">
            <v>120</v>
          </cell>
          <cell r="G406">
            <v>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320</v>
          </cell>
        </row>
      </sheetData>
      <sheetData sheetId="43">
        <row r="5">
          <cell r="L5">
            <v>440</v>
          </cell>
        </row>
        <row r="6">
          <cell r="L6">
            <v>440</v>
          </cell>
        </row>
        <row r="8">
          <cell r="L8">
            <v>440</v>
          </cell>
        </row>
        <row r="13">
          <cell r="C13" t="str">
            <v>José Vieira Alves</v>
          </cell>
          <cell r="J13" t="str">
            <v>8330862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39636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03</v>
          </cell>
          <cell r="E57">
            <v>5</v>
          </cell>
          <cell r="F57">
            <v>72</v>
          </cell>
        </row>
        <row r="58">
          <cell r="A58" t="str">
            <v>Cálculo Diferencial e Integral I - T 05</v>
          </cell>
          <cell r="E58">
            <v>5</v>
          </cell>
          <cell r="F58">
            <v>72</v>
          </cell>
        </row>
        <row r="59">
          <cell r="A59" t="str">
            <v>Métodos Quantitativos II - T 01</v>
          </cell>
          <cell r="E59">
            <v>3</v>
          </cell>
          <cell r="F59">
            <v>48</v>
          </cell>
        </row>
        <row r="62">
          <cell r="E62">
            <v>13</v>
          </cell>
          <cell r="F62">
            <v>192</v>
          </cell>
          <cell r="G62">
            <v>148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Dennis Dantas de Sousa</v>
          </cell>
        </row>
        <row r="80">
          <cell r="A80" t="str">
            <v>Estágio dos alunos bolsistas revelados pela  OBMEP / 2007</v>
          </cell>
          <cell r="J80" t="str">
            <v>CNPq</v>
          </cell>
          <cell r="L80" t="str">
            <v>Em andamento</v>
          </cell>
        </row>
        <row r="82">
          <cell r="G82">
            <v>39489</v>
          </cell>
          <cell r="H82">
            <v>39854</v>
          </cell>
        </row>
        <row r="85">
          <cell r="A85" t="str">
            <v>Renato de Melo Filho</v>
          </cell>
        </row>
        <row r="87">
          <cell r="A87" t="str">
            <v>Estágio dos alunos bolsistas revelados pela  OBMEP / 2007</v>
          </cell>
          <cell r="J87" t="str">
            <v>CNPq</v>
          </cell>
          <cell r="L87" t="str">
            <v>Em andamento</v>
          </cell>
        </row>
        <row r="89">
          <cell r="G89">
            <v>39489</v>
          </cell>
          <cell r="H89">
            <v>39854</v>
          </cell>
        </row>
        <row r="92">
          <cell r="A92" t="str">
            <v>Francimário Souto Medeiros</v>
          </cell>
        </row>
        <row r="94">
          <cell r="A94" t="str">
            <v>Estágio dos alunos bolsistas revelados pela  OBMEP / 2007</v>
          </cell>
          <cell r="J94" t="str">
            <v>CNPq</v>
          </cell>
          <cell r="L94" t="str">
            <v>Em andamento</v>
          </cell>
        </row>
        <row r="96">
          <cell r="G96">
            <v>39489</v>
          </cell>
          <cell r="H96">
            <v>39854</v>
          </cell>
        </row>
        <row r="99">
          <cell r="A99" t="str">
            <v>Camila Paulino Marques</v>
          </cell>
        </row>
        <row r="101">
          <cell r="A101" t="str">
            <v>Estágio dos alunos bolsistas revelados pela  OBMEP / 2007</v>
          </cell>
          <cell r="J101" t="str">
            <v>CNPq</v>
          </cell>
          <cell r="L101" t="str">
            <v>Em andamento</v>
          </cell>
        </row>
        <row r="103">
          <cell r="G103">
            <v>39489</v>
          </cell>
          <cell r="H103">
            <v>39854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Olimpíadas Brasileiras de Matemática (OBM)</v>
          </cell>
          <cell r="I180" t="str">
            <v>Permanente</v>
          </cell>
          <cell r="K180" t="str">
            <v>Em andamento</v>
          </cell>
        </row>
        <row r="182">
          <cell r="A182" t="str">
            <v>Apoio à Comunidade</v>
          </cell>
          <cell r="H182" t="str">
            <v>Coordenador</v>
          </cell>
        </row>
        <row r="184">
          <cell r="E184" t="str">
            <v>Alunos dos ensinos fundamental e médio</v>
          </cell>
          <cell r="I184" t="str">
            <v>UFCG</v>
          </cell>
          <cell r="K184">
            <v>1000</v>
          </cell>
        </row>
        <row r="196">
          <cell r="L196">
            <v>20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192</v>
          </cell>
          <cell r="E406">
            <v>0</v>
          </cell>
          <cell r="F406">
            <v>148</v>
          </cell>
          <cell r="G406">
            <v>80</v>
          </cell>
          <cell r="H406">
            <v>0</v>
          </cell>
          <cell r="I406">
            <v>0</v>
          </cell>
          <cell r="J406">
            <v>20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440</v>
          </cell>
        </row>
      </sheetData>
      <sheetData sheetId="44">
        <row r="5">
          <cell r="L5">
            <v>320</v>
          </cell>
        </row>
        <row r="6">
          <cell r="L6">
            <v>280</v>
          </cell>
        </row>
        <row r="8">
          <cell r="L8">
            <v>144</v>
          </cell>
        </row>
        <row r="13">
          <cell r="C13" t="str">
            <v>Juliana Paula Correia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39638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03</v>
          </cell>
          <cell r="E57">
            <v>1</v>
          </cell>
          <cell r="F57">
            <v>18</v>
          </cell>
          <cell r="I57">
            <v>60</v>
          </cell>
          <cell r="J57">
            <v>19</v>
          </cell>
          <cell r="K57">
            <v>15</v>
          </cell>
          <cell r="L57">
            <v>26</v>
          </cell>
        </row>
        <row r="58">
          <cell r="A58" t="str">
            <v>Cálculo Diferencial e Integral I - T 05</v>
          </cell>
          <cell r="E58">
            <v>1</v>
          </cell>
          <cell r="F58">
            <v>18</v>
          </cell>
          <cell r="I58">
            <v>60</v>
          </cell>
          <cell r="J58">
            <v>7</v>
          </cell>
          <cell r="K58">
            <v>17</v>
          </cell>
          <cell r="L58">
            <v>36</v>
          </cell>
        </row>
        <row r="59">
          <cell r="A59" t="str">
            <v>Métodos Quantitativos II - T01</v>
          </cell>
          <cell r="E59">
            <v>1</v>
          </cell>
          <cell r="F59">
            <v>12</v>
          </cell>
          <cell r="I59">
            <v>45</v>
          </cell>
          <cell r="J59">
            <v>11</v>
          </cell>
          <cell r="K59">
            <v>23</v>
          </cell>
          <cell r="L59">
            <v>11</v>
          </cell>
        </row>
        <row r="62">
          <cell r="E62">
            <v>3</v>
          </cell>
          <cell r="F62">
            <v>48</v>
          </cell>
          <cell r="G62">
            <v>96</v>
          </cell>
          <cell r="I62">
            <v>165</v>
          </cell>
          <cell r="J62">
            <v>37</v>
          </cell>
          <cell r="K62">
            <v>55</v>
          </cell>
          <cell r="L62">
            <v>73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48</v>
          </cell>
          <cell r="E406">
            <v>0</v>
          </cell>
          <cell r="F406">
            <v>96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144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6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Pres. da 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Pres. da 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de Estágio Probatório do Prof. Claudianor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20">
          <cell r="L320">
            <v>6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Joyce Araújo B. dos Santos</v>
          </cell>
        </row>
        <row r="80">
          <cell r="A80" t="str">
            <v>Estágio dos alunos bolsistas revelados pela  OBMEP / 2007</v>
          </cell>
          <cell r="J80" t="str">
            <v>CNPq</v>
          </cell>
          <cell r="L80" t="str">
            <v>Em andamento</v>
          </cell>
        </row>
        <row r="82">
          <cell r="G82">
            <v>39489</v>
          </cell>
          <cell r="H82">
            <v>39854</v>
          </cell>
        </row>
        <row r="85">
          <cell r="A85" t="str">
            <v>Wederson Santos Silva</v>
          </cell>
        </row>
        <row r="87">
          <cell r="A87" t="str">
            <v>Estágio dos alunos bolsistas revelados pela  OBMEP / 2007</v>
          </cell>
          <cell r="J87" t="str">
            <v>CNPq</v>
          </cell>
          <cell r="L87" t="str">
            <v>Em andamento</v>
          </cell>
        </row>
        <row r="89">
          <cell r="G89">
            <v>39489</v>
          </cell>
          <cell r="H89">
            <v>39854</v>
          </cell>
        </row>
        <row r="92">
          <cell r="A92" t="str">
            <v>Jéssyka Marcelino da Cunha</v>
          </cell>
        </row>
        <row r="94">
          <cell r="A94" t="str">
            <v>Estágio dos alunos bolsistas revelados pela  OBMEP / 2007</v>
          </cell>
          <cell r="J94" t="str">
            <v>CNPq</v>
          </cell>
          <cell r="L94" t="str">
            <v>Em andamento</v>
          </cell>
        </row>
        <row r="96">
          <cell r="G96">
            <v>39489</v>
          </cell>
          <cell r="H96">
            <v>39854</v>
          </cell>
        </row>
        <row r="99">
          <cell r="A99" t="str">
            <v>Stefania Januário da Silva</v>
          </cell>
        </row>
        <row r="101">
          <cell r="A101" t="str">
            <v>Estágio dos alunos bolsistas revelados pela  OBMEP / 2007</v>
          </cell>
          <cell r="J101" t="str">
            <v>CNPq</v>
          </cell>
          <cell r="L101" t="str">
            <v>Em andamento</v>
          </cell>
        </row>
        <row r="103">
          <cell r="G103">
            <v>39489</v>
          </cell>
          <cell r="H103">
            <v>39854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7">
        <row r="5">
          <cell r="L5">
            <v>840</v>
          </cell>
        </row>
        <row r="6">
          <cell r="L6">
            <v>800</v>
          </cell>
        </row>
        <row r="8">
          <cell r="L8">
            <v>800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03</v>
          </cell>
          <cell r="E57">
            <v>6</v>
          </cell>
          <cell r="F57">
            <v>90</v>
          </cell>
          <cell r="I57">
            <v>20</v>
          </cell>
          <cell r="J57">
            <v>9</v>
          </cell>
          <cell r="K57">
            <v>7</v>
          </cell>
          <cell r="L57">
            <v>4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20</v>
          </cell>
          <cell r="J62">
            <v>9</v>
          </cell>
          <cell r="K62">
            <v>7</v>
          </cell>
          <cell r="L62">
            <v>4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Banca de Mestrado de Adriano Thiago Lopes Bernardino</v>
          </cell>
          <cell r="H271" t="str">
            <v>UFPB - João Pessoa/PB</v>
          </cell>
          <cell r="K271">
            <v>39654</v>
          </cell>
        </row>
        <row r="272">
          <cell r="B272" t="str">
            <v>Banca examinadora de dissertação</v>
          </cell>
        </row>
        <row r="274">
          <cell r="A274" t="str">
            <v>Banca de Mestrado de Joedson Silva Santos</v>
          </cell>
          <cell r="H274" t="str">
            <v>UFPB - João Pessoa/PB</v>
          </cell>
          <cell r="K274">
            <v>39654</v>
          </cell>
        </row>
        <row r="275">
          <cell r="B275" t="str">
            <v>Banca examinadora de dissertação</v>
          </cell>
        </row>
        <row r="291">
          <cell r="L291">
            <v>30</v>
          </cell>
        </row>
        <row r="295">
          <cell r="A295" t="str">
            <v>Coordenador Administrativo da UAME/CCT/UFCG</v>
          </cell>
          <cell r="H295" t="str">
            <v>Port./R/SRH/281/2008</v>
          </cell>
          <cell r="J295">
            <v>39520</v>
          </cell>
          <cell r="K295">
            <v>40249</v>
          </cell>
        </row>
        <row r="298">
          <cell r="L298">
            <v>500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H324" t="str">
            <v>DCCT/N. 067/2008</v>
          </cell>
          <cell r="J324">
            <v>39612</v>
          </cell>
          <cell r="K324">
            <v>40341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CSGAF no Colegiado Pleno do CONSUNI</v>
          </cell>
          <cell r="J328">
            <v>38838</v>
          </cell>
        </row>
        <row r="329">
          <cell r="B329" t="str">
            <v>Participação em conselhos superiores como membro titular, exceto membro nato</v>
          </cell>
        </row>
        <row r="342">
          <cell r="L342">
            <v>90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90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30</v>
          </cell>
        </row>
        <row r="409">
          <cell r="A409">
            <v>500</v>
          </cell>
          <cell r="B409">
            <v>0</v>
          </cell>
          <cell r="C409">
            <v>90</v>
          </cell>
          <cell r="D409">
            <v>0</v>
          </cell>
          <cell r="E409">
            <v>800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I2" sqref="I2:P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203" t="s">
        <v>297</v>
      </c>
      <c r="B1" s="204"/>
      <c r="C1" s="204"/>
      <c r="D1" s="204"/>
      <c r="E1" s="204"/>
      <c r="F1" s="205"/>
      <c r="G1" s="204"/>
      <c r="H1" s="204"/>
      <c r="I1" s="204"/>
      <c r="J1" s="204"/>
      <c r="K1" s="209" t="str">
        <f>'[1]p1'!$D$3</f>
        <v>Matemática e Estatística</v>
      </c>
      <c r="L1" s="209"/>
      <c r="M1" s="209"/>
      <c r="N1" s="209"/>
      <c r="O1" s="209"/>
      <c r="P1" s="210"/>
    </row>
    <row r="2" spans="1:16" ht="16.5" thickBot="1">
      <c r="A2" s="207"/>
      <c r="B2" s="207"/>
      <c r="C2" s="207"/>
      <c r="D2" s="207"/>
      <c r="E2" s="207"/>
      <c r="F2" s="208"/>
      <c r="G2" s="158" t="s">
        <v>79</v>
      </c>
      <c r="H2" s="159" t="str">
        <f>'[1]p1'!$H$4</f>
        <v>2008.1</v>
      </c>
      <c r="I2" s="206"/>
      <c r="J2" s="207"/>
      <c r="K2" s="207"/>
      <c r="L2" s="207"/>
      <c r="M2" s="207"/>
      <c r="N2" s="207"/>
      <c r="O2" s="207"/>
      <c r="P2" s="207"/>
    </row>
  </sheetData>
  <sheetProtection password="CEFE" sheet="1" objects="1" scenarios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93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5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10" t="s">
        <v>30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2"/>
      <c r="M6" s="411" t="s">
        <v>17</v>
      </c>
      <c r="N6" s="411"/>
      <c r="O6" s="411"/>
      <c r="P6" s="411"/>
      <c r="Q6" s="32"/>
      <c r="R6" s="33" t="s">
        <v>19</v>
      </c>
      <c r="S6" s="30" t="s">
        <v>25</v>
      </c>
    </row>
    <row r="7" spans="1:19" s="34" customFormat="1" ht="12.75" customHeight="1">
      <c r="A7" s="382" t="str">
        <f>T('[1]p6'!$C$13:$G$13)</f>
        <v>Antônio José da Silva</v>
      </c>
      <c r="B7" s="381"/>
      <c r="C7" s="381"/>
      <c r="D7" s="381"/>
      <c r="E7" s="381"/>
      <c r="F7" s="384"/>
      <c r="G7" s="387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</row>
    <row r="8" spans="1:19" s="3" customFormat="1" ht="13.5" customHeight="1">
      <c r="A8" s="413" t="str">
        <f>IF('[1]p6'!$A$295&lt;&gt;0,'[1]p6'!$A$295,"")</f>
        <v>Assessor do Reitor para analisar indicadores acadêmicos da graduação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 t="str">
        <f>IF('[1]p6'!$H$295&lt;&gt;0,'[1]p6'!$H$295,"")</f>
        <v>Portaria R/080/07</v>
      </c>
      <c r="N8" s="413"/>
      <c r="O8" s="413"/>
      <c r="P8" s="413"/>
      <c r="Q8" s="413"/>
      <c r="R8" s="35">
        <f>IF('[1]p6'!$J$295&lt;&gt;0,'[1]p6'!$J$295,"")</f>
        <v>39419</v>
      </c>
      <c r="S8" s="35">
        <f>IF('[1]p6'!$K$295&lt;&gt;0,'[1]p6'!$K$295,"")</f>
        <v>39667</v>
      </c>
    </row>
    <row r="9" spans="1:19" s="3" customFormat="1" ht="13.5" customHeight="1">
      <c r="A9" s="413" t="str">
        <f>IF('[1]p6'!$A$296&lt;&gt;0,'[1]p6'!$A$296,"")</f>
        <v>Pesquisador Institucional da UFCG - PI/UFCG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 t="str">
        <f>IF('[1]p6'!$H$296&lt;&gt;0,'[1]p6'!$H$296,"")</f>
        <v>Portaria R/084/08/08</v>
      </c>
      <c r="N9" s="413"/>
      <c r="O9" s="413"/>
      <c r="P9" s="413"/>
      <c r="Q9" s="413"/>
      <c r="R9" s="35">
        <f>IF('[1]p6'!$J$296&lt;&gt;0,'[1]p6'!$J$296,"")</f>
        <v>39668</v>
      </c>
      <c r="S9" s="35">
        <f>IF('[1]p6'!$K$296&lt;&gt;0,'[1]p6'!$K$296,"")</f>
      </c>
    </row>
    <row r="10" spans="1:19" s="34" customFormat="1" ht="12.75" customHeight="1">
      <c r="A10" s="382" t="str">
        <f>T('[1]p10'!$C$13:$G$13)</f>
        <v>Bráulio Maia Junior</v>
      </c>
      <c r="B10" s="381"/>
      <c r="C10" s="381"/>
      <c r="D10" s="381"/>
      <c r="E10" s="381"/>
      <c r="F10" s="384"/>
      <c r="G10" s="387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19" s="3" customFormat="1" ht="13.5" customHeight="1">
      <c r="A11" s="413" t="str">
        <f>IF('[1]p10'!$A$295&lt;&gt;0,'[1]p10'!$A$295,"")</f>
        <v>Diretor do Centro de Ciências e Tecnologia da UFCG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 t="str">
        <f>IF('[1]p10'!$H$295&lt;&gt;0,'[1]p10'!$H$295,"")</f>
        <v>Port.R/SRH/No.1098</v>
      </c>
      <c r="N11" s="413"/>
      <c r="O11" s="413"/>
      <c r="P11" s="413"/>
      <c r="Q11" s="413"/>
      <c r="R11" s="35">
        <f>IF('[1]p10'!$J$295&lt;&gt;0,'[1]p10'!$J$295,"")</f>
        <v>38657</v>
      </c>
      <c r="S11" s="35">
        <f>IF('[1]p10'!$K$295&lt;&gt;0,'[1]p10'!$K$295,"")</f>
        <v>40117</v>
      </c>
    </row>
    <row r="12" spans="1:19" s="34" customFormat="1" ht="12.75" customHeight="1">
      <c r="A12" s="382" t="str">
        <f>T('[1]p48'!$C$13:$G$13)</f>
        <v>Jaime Alves Barbosa Sobrinho</v>
      </c>
      <c r="B12" s="381"/>
      <c r="C12" s="381"/>
      <c r="D12" s="381"/>
      <c r="E12" s="381"/>
      <c r="F12" s="384"/>
      <c r="G12" s="387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</row>
    <row r="13" spans="1:19" s="3" customFormat="1" ht="13.5" customHeight="1">
      <c r="A13" s="413" t="str">
        <f>IF('[1]p48'!$A$295&lt;&gt;0,'[1]p48'!$A$295,"")</f>
        <v>Coordenador Administrativo da UAME/CCT/UFCG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 t="str">
        <f>IF('[1]p48'!$H$295&lt;&gt;0,'[1]p48'!$H$295,"")</f>
        <v>Port./R/SRH/281/2008</v>
      </c>
      <c r="N13" s="413"/>
      <c r="O13" s="413"/>
      <c r="P13" s="413"/>
      <c r="Q13" s="413"/>
      <c r="R13" s="35">
        <f>IF('[1]p48'!$J$295&lt;&gt;0,'[1]p48'!$J$295,"")</f>
        <v>39520</v>
      </c>
      <c r="S13" s="35">
        <f>IF('[1]p48'!$K$295&lt;&gt;0,'[1]p48'!$K$295,"")</f>
        <v>40249</v>
      </c>
    </row>
    <row r="14" spans="1:19" s="34" customFormat="1" ht="12.75" customHeight="1">
      <c r="A14" s="382" t="str">
        <f>T('[1]p26'!$C$13:$G$13)</f>
        <v>Marco Aurélio Soares Souto</v>
      </c>
      <c r="B14" s="381"/>
      <c r="C14" s="381"/>
      <c r="D14" s="381"/>
      <c r="E14" s="381"/>
      <c r="F14" s="384"/>
      <c r="G14" s="387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</row>
    <row r="15" spans="1:19" s="3" customFormat="1" ht="13.5" customHeight="1">
      <c r="A15" s="413" t="str">
        <f>IF('[1]p26'!$A$295&lt;&gt;0,'[1]p26'!$A$295,"")</f>
        <v>Coordenador do Programa de Pós-Graduação em Matemática/CCT-UFCG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 t="str">
        <f>IF('[1]p26'!$H$295&lt;&gt;0,'[1]p26'!$H$295,"")</f>
        <v>Port.S/SRH n 3059</v>
      </c>
      <c r="N15" s="413"/>
      <c r="O15" s="413"/>
      <c r="P15" s="413"/>
      <c r="Q15" s="413"/>
      <c r="R15" s="35">
        <f>IF('[1]p26'!$J$295&lt;&gt;0,'[1]p26'!$J$295,"")</f>
        <v>39449</v>
      </c>
      <c r="S15" s="35">
        <f>IF('[1]p26'!$K$295&lt;&gt;0,'[1]p26'!$K$295,"")</f>
        <v>40249</v>
      </c>
    </row>
    <row r="16" spans="1:19" s="34" customFormat="1" ht="12.75" customHeight="1">
      <c r="A16" s="382" t="str">
        <f>T('[1]p31'!$C$13:$G$13)</f>
        <v>Rosana Marques da Silva</v>
      </c>
      <c r="B16" s="381"/>
      <c r="C16" s="381"/>
      <c r="D16" s="381"/>
      <c r="E16" s="381"/>
      <c r="F16" s="384"/>
      <c r="G16" s="387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</row>
    <row r="17" spans="1:19" s="3" customFormat="1" ht="13.5" customHeight="1">
      <c r="A17" s="413" t="str">
        <f>IF('[1]p31'!$A$295&lt;&gt;0,'[1]p31'!$A$295,"")</f>
        <v>Coordenadora de Graduação da UAME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 t="str">
        <f>IF('[1]p31'!$H$295&lt;&gt;0,'[1]p31'!$H$295,"")</f>
        <v>Port. R/SRH/n.283, 14/03/2008</v>
      </c>
      <c r="N17" s="413"/>
      <c r="O17" s="413"/>
      <c r="P17" s="413"/>
      <c r="Q17" s="413"/>
      <c r="R17" s="35">
        <f>IF('[1]p31'!$J$295&lt;&gt;0,'[1]p31'!$J$295,"")</f>
        <v>39521</v>
      </c>
      <c r="S17" s="35">
        <f>IF('[1]p31'!$K$295&lt;&gt;0,'[1]p31'!$K$295,"")</f>
        <v>40249</v>
      </c>
    </row>
    <row r="18" spans="1:19" s="34" customFormat="1" ht="12.75" customHeight="1">
      <c r="A18" s="382" t="str">
        <f>T('[1]p35'!$C$13:$G$13)</f>
        <v>Vanio Fragoso de Melo</v>
      </c>
      <c r="B18" s="381"/>
      <c r="C18" s="381"/>
      <c r="D18" s="381"/>
      <c r="E18" s="381"/>
      <c r="F18" s="384"/>
      <c r="G18" s="387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</row>
    <row r="19" spans="1:19" s="3" customFormat="1" ht="13.5" customHeight="1">
      <c r="A19" s="413" t="str">
        <f>IF('[1]p35'!$A$295&lt;&gt;0,'[1]p35'!$A$295,"")</f>
        <v>Coordenador de Pesquisa e Extensão da UAME/CCT/UFCG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 t="str">
        <f>IF('[1]p35'!$H$295&lt;&gt;0,'[1]p35'!$H$295,"")</f>
        <v>Port./R/SRH/Nº 287/2008</v>
      </c>
      <c r="N19" s="413"/>
      <c r="O19" s="413"/>
      <c r="P19" s="413"/>
      <c r="Q19" s="413"/>
      <c r="R19" s="35">
        <f>IF('[1]p35'!$J$295&lt;&gt;0,'[1]p35'!$J$295,"")</f>
        <v>39520</v>
      </c>
      <c r="S19" s="35">
        <f>IF('[1]p35'!$K$295&lt;&gt;0,'[1]p35'!$K$295,"")</f>
        <v>40249</v>
      </c>
    </row>
  </sheetData>
  <sheetProtection password="CEFE" sheet="1" objects="1" scenarios="1"/>
  <mergeCells count="33">
    <mergeCell ref="A6:L6"/>
    <mergeCell ref="A7:F7"/>
    <mergeCell ref="G7:S7"/>
    <mergeCell ref="M6:P6"/>
    <mergeCell ref="A8:L8"/>
    <mergeCell ref="M8:Q8"/>
    <mergeCell ref="A9:L9"/>
    <mergeCell ref="M9:Q9"/>
    <mergeCell ref="A10:F10"/>
    <mergeCell ref="G10:S10"/>
    <mergeCell ref="A11:L11"/>
    <mergeCell ref="M11:Q11"/>
    <mergeCell ref="A14:F14"/>
    <mergeCell ref="G14:S14"/>
    <mergeCell ref="A15:L15"/>
    <mergeCell ref="M15:Q15"/>
    <mergeCell ref="A16:F16"/>
    <mergeCell ref="G16:S16"/>
    <mergeCell ref="A17:L17"/>
    <mergeCell ref="M17:Q17"/>
    <mergeCell ref="A18:F18"/>
    <mergeCell ref="G18:S18"/>
    <mergeCell ref="A19:L19"/>
    <mergeCell ref="M19:Q19"/>
    <mergeCell ref="A1:S1"/>
    <mergeCell ref="A2:S2"/>
    <mergeCell ref="A3:D3"/>
    <mergeCell ref="A4:S5"/>
    <mergeCell ref="E3:Q3"/>
    <mergeCell ref="A12:F12"/>
    <mergeCell ref="G12:S12"/>
    <mergeCell ref="A13:L13"/>
    <mergeCell ref="M13:Q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76</v>
      </c>
      <c r="B3" s="394"/>
      <c r="C3" s="394"/>
      <c r="D3" s="394"/>
      <c r="E3" s="395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59" t="str">
        <f>'[1]p1'!$H$4</f>
        <v>2008.1</v>
      </c>
    </row>
    <row r="4" spans="1:19" s="1" customFormat="1" ht="12.7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</row>
    <row r="5" spans="1:19" s="8" customFormat="1" ht="13.5" thickBo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</row>
    <row r="6" spans="1:19" ht="13.5" thickBot="1">
      <c r="A6" s="410" t="s">
        <v>29</v>
      </c>
      <c r="B6" s="411"/>
      <c r="C6" s="411"/>
      <c r="D6" s="411"/>
      <c r="E6" s="411"/>
      <c r="F6" s="411"/>
      <c r="G6" s="411"/>
      <c r="H6" s="410" t="s">
        <v>24</v>
      </c>
      <c r="I6" s="411"/>
      <c r="J6" s="411"/>
      <c r="K6" s="411"/>
      <c r="L6" s="411"/>
      <c r="M6" s="411"/>
      <c r="N6" s="411"/>
      <c r="O6" s="411"/>
      <c r="P6" s="411"/>
      <c r="Q6" s="412"/>
      <c r="R6" s="156" t="s">
        <v>290</v>
      </c>
      <c r="S6" s="30" t="s">
        <v>291</v>
      </c>
    </row>
    <row r="7" spans="1:19" s="45" customFormat="1" ht="14.25" customHeight="1">
      <c r="A7" s="423" t="str">
        <f>T('[1]p4'!$C$13:$G$13)</f>
        <v>Amauri Araújo Cruz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</row>
    <row r="8" spans="1:19" s="3" customFormat="1" ht="13.5" customHeight="1">
      <c r="A8" s="413" t="str">
        <f>IF('[1]p4'!$A$271&lt;&gt;0,'[1]p4'!$A$271,"")</f>
        <v>Concurso  professor substituto da UAME/CCT/UFCG</v>
      </c>
      <c r="B8" s="413"/>
      <c r="C8" s="413"/>
      <c r="D8" s="413"/>
      <c r="E8" s="413"/>
      <c r="F8" s="413"/>
      <c r="G8" s="413"/>
      <c r="H8" s="413" t="str">
        <f>IF('[1]p4'!$B$272&lt;&gt;0,'[1]p4'!$B$272,"")</f>
        <v>Banca examinadora de concurso público para professor temporário</v>
      </c>
      <c r="I8" s="413"/>
      <c r="J8" s="413"/>
      <c r="K8" s="413"/>
      <c r="L8" s="413"/>
      <c r="M8" s="413"/>
      <c r="N8" s="413"/>
      <c r="O8" s="413"/>
      <c r="P8" s="413"/>
      <c r="Q8" s="413"/>
      <c r="R8" s="35" t="str">
        <f>IF('[1]p4'!$H$271&lt;&gt;0,'[1]p4'!$H$271,"")</f>
        <v>UFCG</v>
      </c>
      <c r="S8" s="35">
        <f>IF('[1]p4'!$K$271&lt;&gt;0,'[1]p4'!$K$271,"")</f>
        <v>39626</v>
      </c>
    </row>
    <row r="9" spans="1:19" s="45" customFormat="1" ht="14.25" customHeight="1">
      <c r="A9" s="423" t="str">
        <f>T('[1]p6'!$C$13:$G$13)</f>
        <v>Antônio José da Silva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</row>
    <row r="10" spans="1:19" s="3" customFormat="1" ht="13.5" customHeight="1">
      <c r="A10" s="413" t="str">
        <f>IF('[1]p6'!$A$271&lt;&gt;0,'[1]p6'!$A$271,"")</f>
        <v>Concurso Público_Campus de Sousa</v>
      </c>
      <c r="B10" s="413"/>
      <c r="C10" s="413"/>
      <c r="D10" s="413"/>
      <c r="E10" s="413"/>
      <c r="F10" s="413"/>
      <c r="G10" s="413"/>
      <c r="H10" s="413" t="str">
        <f>IF('[1]p6'!$B$272&lt;&gt;0,'[1]p6'!$B$272,"")</f>
        <v>Banca examinadora de concurso público para professor do ensino superior</v>
      </c>
      <c r="I10" s="413"/>
      <c r="J10" s="413"/>
      <c r="K10" s="413"/>
      <c r="L10" s="413"/>
      <c r="M10" s="413"/>
      <c r="N10" s="413"/>
      <c r="O10" s="413"/>
      <c r="P10" s="413"/>
      <c r="Q10" s="413"/>
      <c r="R10" s="35" t="str">
        <f>IF('[1]p6'!$H$271&lt;&gt;0,'[1]p6'!$H$271,"")</f>
        <v>CCJS_Sousa</v>
      </c>
      <c r="S10" s="35">
        <f>IF('[1]p6'!$K$271&lt;&gt;0,'[1]p6'!$K$271,"")</f>
        <v>39567</v>
      </c>
    </row>
    <row r="11" spans="1:19" s="3" customFormat="1" ht="13.5" customHeight="1">
      <c r="A11" s="413" t="str">
        <f>IF('[1]p6'!$A$274&lt;&gt;0,'[1]p6'!$A$274,"")</f>
        <v>Concurso Público_UFAL</v>
      </c>
      <c r="B11" s="413"/>
      <c r="C11" s="413"/>
      <c r="D11" s="413"/>
      <c r="E11" s="413"/>
      <c r="F11" s="413"/>
      <c r="G11" s="413"/>
      <c r="H11" s="413" t="str">
        <f>IF('[1]p6'!$B$275&lt;&gt;0,'[1]p6'!$B$275,"")</f>
        <v>Banca examinadora de concurso público para professor do ensino superior</v>
      </c>
      <c r="I11" s="413"/>
      <c r="J11" s="413"/>
      <c r="K11" s="413"/>
      <c r="L11" s="413"/>
      <c r="M11" s="413"/>
      <c r="N11" s="413"/>
      <c r="O11" s="413"/>
      <c r="P11" s="413"/>
      <c r="Q11" s="413"/>
      <c r="R11" s="35" t="str">
        <f>IF('[1]p6'!$H$274&lt;&gt;0,'[1]p6'!$H$274,"")</f>
        <v>Faculdade de Medicina_UFAL</v>
      </c>
      <c r="S11" s="35">
        <f>IF('[1]p6'!$K$274&lt;&gt;0,'[1]p6'!$K$274,"")</f>
        <v>39591</v>
      </c>
    </row>
    <row r="12" spans="1:19" s="45" customFormat="1" ht="14.25" customHeight="1">
      <c r="A12" s="423" t="str">
        <f>T('[1]p7'!$C$13:$G$13)</f>
        <v>Antônio Pereira Brandão Júnior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</row>
    <row r="13" spans="1:19" s="3" customFormat="1" ht="13.5" customHeight="1">
      <c r="A13" s="413" t="str">
        <f>IF('[1]p7'!$A$271&lt;&gt;0,'[1]p7'!$A$271,"")</f>
        <v>Concurso para professor substituto da UAME</v>
      </c>
      <c r="B13" s="413"/>
      <c r="C13" s="413"/>
      <c r="D13" s="413"/>
      <c r="E13" s="413"/>
      <c r="F13" s="413"/>
      <c r="G13" s="413"/>
      <c r="H13" s="413" t="str">
        <f>IF('[1]p7'!$B$272&lt;&gt;0,'[1]p7'!$B$272,"")</f>
        <v>Banca examinadora de concurso público para professor temporário</v>
      </c>
      <c r="I13" s="413"/>
      <c r="J13" s="413"/>
      <c r="K13" s="413"/>
      <c r="L13" s="413"/>
      <c r="M13" s="413"/>
      <c r="N13" s="413"/>
      <c r="O13" s="413"/>
      <c r="P13" s="413"/>
      <c r="Q13" s="413"/>
      <c r="R13" s="35" t="str">
        <f>IF('[1]p7'!$H$271&lt;&gt;0,'[1]p7'!$H$271,"")</f>
        <v>UAME/CCT</v>
      </c>
      <c r="S13" s="35" t="str">
        <f>IF('[1]p7'!$K$271&lt;&gt;0,'[1]p7'!$K$271,"")</f>
        <v>17 e 27/06</v>
      </c>
    </row>
    <row r="14" spans="1:19" s="45" customFormat="1" ht="14.25" customHeight="1">
      <c r="A14" s="423" t="str">
        <f>T('[1]p10'!$C$13:$G$13)</f>
        <v>Bráulio Maia Junior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</row>
    <row r="15" spans="1:19" s="3" customFormat="1" ht="13.5" customHeight="1">
      <c r="A15" s="413" t="str">
        <f>IF('[1]p10'!$A$271&lt;&gt;0,'[1]p10'!$A$271,"")</f>
        <v>concurso publico prof. Assistente- Universidade F. Recôncavo da Bahia</v>
      </c>
      <c r="B15" s="413"/>
      <c r="C15" s="413"/>
      <c r="D15" s="413"/>
      <c r="E15" s="413"/>
      <c r="F15" s="413"/>
      <c r="G15" s="413"/>
      <c r="H15" s="413" t="str">
        <f>IF('[1]p10'!$B$272&lt;&gt;0,'[1]p10'!$B$272,"")</f>
        <v>Banca examinadora de concurso público para professor do ensino superior</v>
      </c>
      <c r="I15" s="413"/>
      <c r="J15" s="413"/>
      <c r="K15" s="413"/>
      <c r="L15" s="413"/>
      <c r="M15" s="413"/>
      <c r="N15" s="413"/>
      <c r="O15" s="413"/>
      <c r="P15" s="413"/>
      <c r="Q15" s="413"/>
      <c r="R15" s="35" t="str">
        <f>IF('[1]p10'!$H$271&lt;&gt;0,'[1]p10'!$H$271,"")</f>
        <v>Cruz das Almas- Bahia</v>
      </c>
      <c r="S15" s="35">
        <f>IF('[1]p10'!$K$271&lt;&gt;0,'[1]p10'!$K$271,"")</f>
        <v>39605.083333333336</v>
      </c>
    </row>
    <row r="16" spans="1:19" s="3" customFormat="1" ht="13.5" customHeight="1">
      <c r="A16" s="413" t="str">
        <f>IF('[1]p10'!$A$274&lt;&gt;0,'[1]p10'!$A$274,"")</f>
        <v>concurso publico prof. Assistente- Universidade Federal de Sergipe</v>
      </c>
      <c r="B16" s="413"/>
      <c r="C16" s="413"/>
      <c r="D16" s="413"/>
      <c r="E16" s="413"/>
      <c r="F16" s="413"/>
      <c r="G16" s="413"/>
      <c r="H16" s="413" t="str">
        <f>IF('[1]p10'!$B$275&lt;&gt;0,'[1]p10'!$B$275,"")</f>
        <v>Banca examinadora de concurso público para professor do ensino superior</v>
      </c>
      <c r="I16" s="413"/>
      <c r="J16" s="413"/>
      <c r="K16" s="413"/>
      <c r="L16" s="413"/>
      <c r="M16" s="413"/>
      <c r="N16" s="413"/>
      <c r="O16" s="413"/>
      <c r="P16" s="413"/>
      <c r="Q16" s="413"/>
      <c r="R16" s="35" t="str">
        <f>IF('[1]p10'!$H$274&lt;&gt;0,'[1]p10'!$H$274,"")</f>
        <v>Itabaiana- Sergipe</v>
      </c>
      <c r="S16" s="35">
        <f>IF('[1]p10'!$K$274&lt;&gt;0,'[1]p10'!$K$274,"")</f>
        <v>39568</v>
      </c>
    </row>
    <row r="17" spans="1:19" s="3" customFormat="1" ht="13.5" customHeight="1">
      <c r="A17" s="413" t="str">
        <f>IF('[1]p10'!$A$277&lt;&gt;0,'[1]p10'!$A$277,"")</f>
        <v>Comissão Examinadora da Tese de Rex Antonio da Costa Medeiros</v>
      </c>
      <c r="B17" s="413"/>
      <c r="C17" s="413"/>
      <c r="D17" s="413"/>
      <c r="E17" s="413"/>
      <c r="F17" s="413"/>
      <c r="G17" s="413"/>
      <c r="H17" s="413">
        <f>IF('[1]p10'!$B$278&lt;&gt;0,'[1]p10'!$B$278,"")</f>
      </c>
      <c r="I17" s="413"/>
      <c r="J17" s="413"/>
      <c r="K17" s="413"/>
      <c r="L17" s="413"/>
      <c r="M17" s="413"/>
      <c r="N17" s="413"/>
      <c r="O17" s="413"/>
      <c r="P17" s="413"/>
      <c r="Q17" s="413"/>
      <c r="R17" s="35" t="str">
        <f>IF('[1]p10'!$H$277&lt;&gt;0,'[1]p10'!$H$277,"")</f>
        <v>UAEE do CEEI - UFCG</v>
      </c>
      <c r="S17" s="35">
        <f>IF('[1]p10'!$K$277&lt;&gt;0,'[1]p10'!$K$277,"")</f>
        <v>39577</v>
      </c>
    </row>
    <row r="18" spans="1:19" s="45" customFormat="1" ht="14.25" customHeight="1">
      <c r="A18" s="423" t="str">
        <f>T('[1]p11'!$C$13:$G$13)</f>
        <v>Claudianor Oliveira Alves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</row>
    <row r="19" spans="1:19" s="3" customFormat="1" ht="13.5" customHeight="1">
      <c r="A19" s="413" t="str">
        <f>IF('[1]p11'!$A$271&lt;&gt;0,'[1]p11'!$A$271,"")</f>
        <v>Participação na banca  de Gustavo Ferron Madeira. Um problema parabólico com condição de fronteira não-linear e peso indefinido:existência, regularidade, bifurcação e estabilidade de equilíbrios 2008. TESE (Doutorado em Matemática)  </v>
      </c>
      <c r="B19" s="413"/>
      <c r="C19" s="413"/>
      <c r="D19" s="413"/>
      <c r="E19" s="413"/>
      <c r="F19" s="413"/>
      <c r="G19" s="413"/>
      <c r="H19" s="413" t="str">
        <f>IF('[1]p11'!$B$272&lt;&gt;0,'[1]p11'!$B$272,"")</f>
        <v>Banca examinadora de tese</v>
      </c>
      <c r="I19" s="413"/>
      <c r="J19" s="413"/>
      <c r="K19" s="413"/>
      <c r="L19" s="413"/>
      <c r="M19" s="413"/>
      <c r="N19" s="413"/>
      <c r="O19" s="413"/>
      <c r="P19" s="413"/>
      <c r="Q19" s="413"/>
      <c r="R19" s="35" t="str">
        <f>IF('[1]p11'!$H$271&lt;&gt;0,'[1]p11'!$H$271,"")</f>
        <v>UFSCar</v>
      </c>
      <c r="S19" s="35">
        <f>IF('[1]p11'!$K$271&lt;&gt;0,'[1]p11'!$K$271,"")</f>
        <v>39588</v>
      </c>
    </row>
    <row r="20" spans="1:19" s="3" customFormat="1" ht="13.5" customHeight="1">
      <c r="A20" s="413" t="str">
        <f>IF('[1]p11'!$A$274&lt;&gt;0,'[1]p11'!$A$274,"")</f>
        <v>Participação na banca  de Luiz Fernando de Oliveira Faria Equações elípticas comdepência não linear do gradiente 2008. TESE ( Doutorado em Matemática ) </v>
      </c>
      <c r="B20" s="413"/>
      <c r="C20" s="413"/>
      <c r="D20" s="413"/>
      <c r="E20" s="413"/>
      <c r="F20" s="413"/>
      <c r="G20" s="413"/>
      <c r="H20" s="413" t="str">
        <f>IF('[1]p11'!$B$275&lt;&gt;0,'[1]p11'!$B$275,"")</f>
        <v>Banca examinadora de tese</v>
      </c>
      <c r="I20" s="413"/>
      <c r="J20" s="413"/>
      <c r="K20" s="413"/>
      <c r="L20" s="413"/>
      <c r="M20" s="413"/>
      <c r="N20" s="413"/>
      <c r="O20" s="413"/>
      <c r="P20" s="413"/>
      <c r="Q20" s="413"/>
      <c r="R20" s="35">
        <f>IF('[1]p11'!$H$274&lt;&gt;0,'[1]p11'!$H$274,"")</f>
      </c>
      <c r="S20" s="35">
        <f>IF('[1]p11'!$K$274&lt;&gt;0,'[1]p11'!$K$274,"")</f>
        <v>39644</v>
      </c>
    </row>
    <row r="21" spans="1:19" s="45" customFormat="1" ht="14.25" customHeight="1">
      <c r="A21" s="423" t="str">
        <f>T('[1]p13'!$C$13:$G$13)</f>
        <v>Florence Ayres Campello de Oliveira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</row>
    <row r="22" spans="1:19" s="3" customFormat="1" ht="13.5" customHeight="1">
      <c r="A22" s="413" t="str">
        <f>IF('[1]p13'!$A$271&lt;&gt;0,'[1]p13'!$A$271,"")</f>
        <v>Comissão de Seleção para Processo Seletivo do Programa de Bolsas REUNI </v>
      </c>
      <c r="B22" s="413"/>
      <c r="C22" s="413"/>
      <c r="D22" s="413"/>
      <c r="E22" s="413"/>
      <c r="F22" s="413"/>
      <c r="G22" s="413"/>
      <c r="H22" s="413">
        <f>IF('[1]p13'!$B$272&lt;&gt;0,'[1]p13'!$B$272,"")</f>
      </c>
      <c r="I22" s="413"/>
      <c r="J22" s="413"/>
      <c r="K22" s="413"/>
      <c r="L22" s="413"/>
      <c r="M22" s="413"/>
      <c r="N22" s="413"/>
      <c r="O22" s="413"/>
      <c r="P22" s="413"/>
      <c r="Q22" s="413"/>
      <c r="R22" s="35" t="str">
        <f>IF('[1]p13'!$H$271&lt;&gt;0,'[1]p13'!$H$271,"")</f>
        <v>UFCG</v>
      </c>
      <c r="S22" s="35">
        <f>IF('[1]p13'!$K$271&lt;&gt;0,'[1]p13'!$K$271,"")</f>
        <v>39598</v>
      </c>
    </row>
    <row r="23" spans="1:19" s="45" customFormat="1" ht="14.25" customHeight="1">
      <c r="A23" s="423" t="str">
        <f>T('[1]p14'!$C$13:$G$13)</f>
        <v>Francisco Antônio Morais de Souza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</row>
    <row r="24" spans="1:19" s="3" customFormat="1" ht="13.5" customHeight="1">
      <c r="A24" s="413" t="str">
        <f>IF('[1]p14'!$A$271&lt;&gt;0,'[1]p14'!$A$271,"")</f>
        <v>Banca de dissertação de mestrado de José Iraponil Costa Lima</v>
      </c>
      <c r="B24" s="413"/>
      <c r="C24" s="413"/>
      <c r="D24" s="413"/>
      <c r="E24" s="413"/>
      <c r="F24" s="413"/>
      <c r="G24" s="413"/>
      <c r="H24" s="413" t="str">
        <f>IF('[1]p14'!$B$272&lt;&gt;0,'[1]p14'!$B$272,"")</f>
        <v>Banca examinadora de dissertação</v>
      </c>
      <c r="I24" s="413"/>
      <c r="J24" s="413"/>
      <c r="K24" s="413"/>
      <c r="L24" s="413"/>
      <c r="M24" s="413"/>
      <c r="N24" s="413"/>
      <c r="O24" s="413"/>
      <c r="P24" s="413"/>
      <c r="Q24" s="413"/>
      <c r="R24" s="35" t="str">
        <f>IF('[1]p14'!$H$271&lt;&gt;0,'[1]p14'!$H$271,"")</f>
        <v>UFCG</v>
      </c>
      <c r="S24" s="35">
        <f>IF('[1]p14'!$K$271&lt;&gt;0,'[1]p14'!$K$271,"")</f>
        <v>39703</v>
      </c>
    </row>
    <row r="25" spans="1:19" s="45" customFormat="1" ht="14.25" customHeight="1">
      <c r="A25" s="423" t="str">
        <f>T('[1]p16'!$C$13:$G$13)</f>
        <v>Gilberto da Silva Matos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</row>
    <row r="26" spans="1:19" s="3" customFormat="1" ht="13.5" customHeight="1">
      <c r="A26" s="413" t="str">
        <f>IF('[1]p16'!$A$271&lt;&gt;0,'[1]p16'!$A$271,"")</f>
        <v>Concurso Prof. Substituto na área de Estatística.</v>
      </c>
      <c r="B26" s="413"/>
      <c r="C26" s="413"/>
      <c r="D26" s="413"/>
      <c r="E26" s="413"/>
      <c r="F26" s="413"/>
      <c r="G26" s="413"/>
      <c r="H26" s="413" t="str">
        <f>IF('[1]p16'!$B$272&lt;&gt;0,'[1]p16'!$B$272,"")</f>
        <v>Banca examinadora de concurso público para professor temporário</v>
      </c>
      <c r="I26" s="413"/>
      <c r="J26" s="413"/>
      <c r="K26" s="413"/>
      <c r="L26" s="413"/>
      <c r="M26" s="413"/>
      <c r="N26" s="413"/>
      <c r="O26" s="413"/>
      <c r="P26" s="413"/>
      <c r="Q26" s="413"/>
      <c r="R26" s="35" t="str">
        <f>IF('[1]p16'!$H$271&lt;&gt;0,'[1]p16'!$H$271,"")</f>
        <v>UAME/UFCG</v>
      </c>
      <c r="S26" s="35">
        <f>IF('[1]p16'!$K$271&lt;&gt;0,'[1]p16'!$K$271,"")</f>
        <v>39615</v>
      </c>
    </row>
    <row r="27" spans="1:19" s="45" customFormat="1" ht="14.25" customHeight="1">
      <c r="A27" s="423" t="str">
        <f>T('[1]p17'!$C$13:$G$13)</f>
        <v>Henrique Fernandes de Lima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</row>
    <row r="28" spans="1:19" s="3" customFormat="1" ht="13.5" customHeight="1">
      <c r="A28" s="413" t="str">
        <f>IF('[1]p17'!$A$271&lt;&gt;0,'[1]p17'!$A$271,"")</f>
        <v>Exame de qualificação em geometriam doiutorado em matematica da UFC: Marco Antonio Lázaro Velásquez. </v>
      </c>
      <c r="B28" s="413"/>
      <c r="C28" s="413"/>
      <c r="D28" s="413"/>
      <c r="E28" s="413"/>
      <c r="F28" s="413"/>
      <c r="G28" s="413"/>
      <c r="H28" s="413" t="str">
        <f>IF('[1]p17'!$B$272&lt;&gt;0,'[1]p17'!$B$272,"")</f>
        <v>Banca examinadora de exame de qualificação</v>
      </c>
      <c r="I28" s="413"/>
      <c r="J28" s="413"/>
      <c r="K28" s="413"/>
      <c r="L28" s="413"/>
      <c r="M28" s="413"/>
      <c r="N28" s="413"/>
      <c r="O28" s="413"/>
      <c r="P28" s="413"/>
      <c r="Q28" s="413"/>
      <c r="R28" s="35" t="str">
        <f>IF('[1]p17'!$H$271&lt;&gt;0,'[1]p17'!$H$271,"")</f>
        <v>UFC</v>
      </c>
      <c r="S28" s="35">
        <f>IF('[1]p17'!$K$271&lt;&gt;0,'[1]p17'!$K$271,"")</f>
        <v>39509</v>
      </c>
    </row>
    <row r="29" spans="1:19" s="3" customFormat="1" ht="13.5" customHeight="1">
      <c r="A29" s="413" t="str">
        <f>IF('[1]p17'!$A$274&lt;&gt;0,'[1]p17'!$A$274,"")</f>
        <v>Exame de qualificação em geometria, doutorado em matemática da UFC: Gleydson Chaves Ricarte</v>
      </c>
      <c r="B29" s="413"/>
      <c r="C29" s="413"/>
      <c r="D29" s="413"/>
      <c r="E29" s="413"/>
      <c r="F29" s="413"/>
      <c r="G29" s="413"/>
      <c r="H29" s="413" t="str">
        <f>IF('[1]p17'!$B$275&lt;&gt;0,'[1]p17'!$B$275,"")</f>
        <v>Banca examinadora de exame de qualificação</v>
      </c>
      <c r="I29" s="413"/>
      <c r="J29" s="413"/>
      <c r="K29" s="413"/>
      <c r="L29" s="413"/>
      <c r="M29" s="413"/>
      <c r="N29" s="413"/>
      <c r="O29" s="413"/>
      <c r="P29" s="413"/>
      <c r="Q29" s="413"/>
      <c r="R29" s="35" t="str">
        <f>IF('[1]p17'!$H$274&lt;&gt;0,'[1]p17'!$H$274,"")</f>
        <v>UFC</v>
      </c>
      <c r="S29" s="35">
        <f>IF('[1]p17'!$K$274&lt;&gt;0,'[1]p17'!$K$274,"")</f>
        <v>39510</v>
      </c>
    </row>
    <row r="30" spans="1:19" s="3" customFormat="1" ht="13.5" customHeight="1">
      <c r="A30" s="413" t="str">
        <f>IF('[1]p17'!$A$277&lt;&gt;0,'[1]p17'!$A$277,"")</f>
        <v>Concurso para Professor Adjunto da UAME/CCT/UFCG</v>
      </c>
      <c r="B30" s="413"/>
      <c r="C30" s="413"/>
      <c r="D30" s="413"/>
      <c r="E30" s="413"/>
      <c r="F30" s="413"/>
      <c r="G30" s="413"/>
      <c r="H30" s="413" t="str">
        <f>IF('[1]p17'!$B$278&lt;&gt;0,'[1]p17'!$B$278,"")</f>
        <v>Banca examinadora de concurso público para professor do ensino superior</v>
      </c>
      <c r="I30" s="413"/>
      <c r="J30" s="413"/>
      <c r="K30" s="413"/>
      <c r="L30" s="413"/>
      <c r="M30" s="413"/>
      <c r="N30" s="413"/>
      <c r="O30" s="413"/>
      <c r="P30" s="413"/>
      <c r="Q30" s="413"/>
      <c r="R30" s="35" t="str">
        <f>IF('[1]p17'!$H$277&lt;&gt;0,'[1]p17'!$H$277,"")</f>
        <v>UFCG</v>
      </c>
      <c r="S30" s="35">
        <f>IF('[1]p17'!$K$277&lt;&gt;0,'[1]p17'!$K$277,"")</f>
        <v>39560</v>
      </c>
    </row>
    <row r="31" spans="1:19" s="45" customFormat="1" ht="14.25" customHeight="1">
      <c r="A31" s="423" t="str">
        <f>T('[1]p48'!$C$13:$G$13)</f>
        <v>Jaime Alves Barbosa Sobrinho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</row>
    <row r="32" spans="1:19" s="3" customFormat="1" ht="13.5" customHeight="1">
      <c r="A32" s="413" t="str">
        <f>IF('[1]p48'!$A$271&lt;&gt;0,'[1]p48'!$A$271,"")</f>
        <v>Banca de Mestrado de Adriano Thiago Lopes Bernardino</v>
      </c>
      <c r="B32" s="413"/>
      <c r="C32" s="413"/>
      <c r="D32" s="413"/>
      <c r="E32" s="413"/>
      <c r="F32" s="413"/>
      <c r="G32" s="413"/>
      <c r="H32" s="413" t="str">
        <f>IF('[1]p48'!$B$272&lt;&gt;0,'[1]p48'!$B$272,"")</f>
        <v>Banca examinadora de dissertação</v>
      </c>
      <c r="I32" s="413"/>
      <c r="J32" s="413"/>
      <c r="K32" s="413"/>
      <c r="L32" s="413"/>
      <c r="M32" s="413"/>
      <c r="N32" s="413"/>
      <c r="O32" s="413"/>
      <c r="P32" s="413"/>
      <c r="Q32" s="413"/>
      <c r="R32" s="35" t="str">
        <f>IF('[1]p48'!$H$271&lt;&gt;0,'[1]p48'!$H$271,"")</f>
        <v>UFPB - João Pessoa/PB</v>
      </c>
      <c r="S32" s="35">
        <f>IF('[1]p48'!$K$271&lt;&gt;0,'[1]p48'!$K$271,"")</f>
        <v>39654</v>
      </c>
    </row>
    <row r="33" spans="1:19" s="3" customFormat="1" ht="13.5" customHeight="1">
      <c r="A33" s="413" t="str">
        <f>IF('[1]p48'!$A$274&lt;&gt;0,'[1]p48'!$A$274,"")</f>
        <v>Banca de Mestrado de Joedson Silva Santos</v>
      </c>
      <c r="B33" s="413"/>
      <c r="C33" s="413"/>
      <c r="D33" s="413"/>
      <c r="E33" s="413"/>
      <c r="F33" s="413"/>
      <c r="G33" s="413"/>
      <c r="H33" s="413" t="str">
        <f>IF('[1]p48'!$B$275&lt;&gt;0,'[1]p48'!$B$275,"")</f>
        <v>Banca examinadora de dissertação</v>
      </c>
      <c r="I33" s="413"/>
      <c r="J33" s="413"/>
      <c r="K33" s="413"/>
      <c r="L33" s="413"/>
      <c r="M33" s="413"/>
      <c r="N33" s="413"/>
      <c r="O33" s="413"/>
      <c r="P33" s="413"/>
      <c r="Q33" s="413"/>
      <c r="R33" s="35" t="str">
        <f>IF('[1]p48'!$H$274&lt;&gt;0,'[1]p48'!$H$274,"")</f>
        <v>UFPB - João Pessoa/PB</v>
      </c>
      <c r="S33" s="35">
        <f>IF('[1]p48'!$K$274&lt;&gt;0,'[1]p48'!$K$274,"")</f>
        <v>39654</v>
      </c>
    </row>
    <row r="34" spans="1:19" s="45" customFormat="1" ht="14.25" customHeight="1">
      <c r="A34" s="423" t="str">
        <f>T('[1]p20'!$C$13:$G$13)</f>
        <v>José de Arimatéia Fernandes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</row>
    <row r="35" spans="1:19" s="3" customFormat="1" ht="13.5" customHeight="1">
      <c r="A35" s="413" t="str">
        <f>IF('[1]p20'!$A$271&lt;&gt;0,'[1]p20'!$A$271,"")</f>
        <v>Membro Titular da Banca de Concurso para Prof. Assistente do DM/CCET/UFRN</v>
      </c>
      <c r="B35" s="413"/>
      <c r="C35" s="413"/>
      <c r="D35" s="413"/>
      <c r="E35" s="413"/>
      <c r="F35" s="413"/>
      <c r="G35" s="413"/>
      <c r="H35" s="413" t="str">
        <f>IF('[1]p20'!$B$272&lt;&gt;0,'[1]p20'!$B$272,"")</f>
        <v>Banca examinadora de concurso público para professor do ensino superior</v>
      </c>
      <c r="I35" s="413"/>
      <c r="J35" s="413"/>
      <c r="K35" s="413"/>
      <c r="L35" s="413"/>
      <c r="M35" s="413"/>
      <c r="N35" s="413"/>
      <c r="O35" s="413"/>
      <c r="P35" s="413"/>
      <c r="Q35" s="413"/>
      <c r="R35" s="35" t="str">
        <f>IF('[1]p20'!$H$271&lt;&gt;0,'[1]p20'!$H$271,"")</f>
        <v>UFRN (Natal)</v>
      </c>
      <c r="S35" s="35">
        <f>IF('[1]p20'!$K$271&lt;&gt;0,'[1]p20'!$K$271,"")</f>
        <v>39587</v>
      </c>
    </row>
    <row r="36" spans="1:19" s="45" customFormat="1" ht="14.25" customHeight="1">
      <c r="A36" s="423" t="str">
        <f>T('[1]p28'!$C$13:$G$13)</f>
        <v>Michelli Karinne Barros da Silva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</row>
    <row r="37" spans="1:19" s="3" customFormat="1" ht="13.5" customHeight="1">
      <c r="A37" s="413" t="str">
        <f>IF('[1]p28'!$A$271&lt;&gt;0,'[1]p28'!$A$271,"")</f>
        <v>Concurso para Prof. Adjunto</v>
      </c>
      <c r="B37" s="413"/>
      <c r="C37" s="413"/>
      <c r="D37" s="413"/>
      <c r="E37" s="413"/>
      <c r="F37" s="413"/>
      <c r="G37" s="413"/>
      <c r="H37" s="413" t="str">
        <f>IF('[1]p28'!$B$272&lt;&gt;0,'[1]p28'!$B$272,"")</f>
        <v>Banca examinadora de concurso público para professor do ensino superior</v>
      </c>
      <c r="I37" s="413"/>
      <c r="J37" s="413"/>
      <c r="K37" s="413"/>
      <c r="L37" s="413"/>
      <c r="M37" s="413"/>
      <c r="N37" s="413"/>
      <c r="O37" s="413"/>
      <c r="P37" s="413"/>
      <c r="Q37" s="413"/>
      <c r="R37" s="35" t="str">
        <f>IF('[1]p28'!$H$271&lt;&gt;0,'[1]p28'!$H$271,"")</f>
        <v>UFCG-Pombal</v>
      </c>
      <c r="S37" s="35">
        <f>IF('[1]p28'!$K$271&lt;&gt;0,'[1]p28'!$K$271,"")</f>
        <v>39608</v>
      </c>
    </row>
    <row r="38" spans="1:19" s="3" customFormat="1" ht="13.5" customHeight="1">
      <c r="A38" s="413" t="str">
        <f>IF('[1]p28'!$A$274&lt;&gt;0,'[1]p28'!$A$274,"")</f>
        <v>Emissão de pareceres em processos do CNPq</v>
      </c>
      <c r="B38" s="413"/>
      <c r="C38" s="413"/>
      <c r="D38" s="413"/>
      <c r="E38" s="413"/>
      <c r="F38" s="413"/>
      <c r="G38" s="413"/>
      <c r="H38" s="413" t="str">
        <f>IF('[1]p28'!$B$275&lt;&gt;0,'[1]p28'!$B$275,"")</f>
        <v>Comite do PIBIC</v>
      </c>
      <c r="I38" s="413"/>
      <c r="J38" s="413"/>
      <c r="K38" s="413"/>
      <c r="L38" s="413"/>
      <c r="M38" s="413"/>
      <c r="N38" s="413"/>
      <c r="O38" s="413"/>
      <c r="P38" s="413"/>
      <c r="Q38" s="413"/>
      <c r="R38" s="35" t="str">
        <f>IF('[1]p28'!$H$274&lt;&gt;0,'[1]p28'!$H$274,"")</f>
        <v>UFCG</v>
      </c>
      <c r="S38" s="35">
        <f>IF('[1]p28'!$K$274&lt;&gt;0,'[1]p28'!$K$274,"")</f>
        <v>39673</v>
      </c>
    </row>
    <row r="39" spans="1:19" s="3" customFormat="1" ht="13.5" customHeight="1">
      <c r="A39" s="413" t="str">
        <f>IF('[1]p28'!$A$277&lt;&gt;0,'[1]p28'!$A$277,"")</f>
        <v>Concurso para Prof. Substituto</v>
      </c>
      <c r="B39" s="413"/>
      <c r="C39" s="413"/>
      <c r="D39" s="413"/>
      <c r="E39" s="413"/>
      <c r="F39" s="413"/>
      <c r="G39" s="413"/>
      <c r="H39" s="413" t="str">
        <f>IF('[1]p28'!$B$278&lt;&gt;0,'[1]p28'!$B$278,"")</f>
        <v>Banca examinadora de concurso público para professor temporário</v>
      </c>
      <c r="I39" s="413"/>
      <c r="J39" s="413"/>
      <c r="K39" s="413"/>
      <c r="L39" s="413"/>
      <c r="M39" s="413"/>
      <c r="N39" s="413"/>
      <c r="O39" s="413"/>
      <c r="P39" s="413"/>
      <c r="Q39" s="413"/>
      <c r="R39" s="35" t="str">
        <f>IF('[1]p28'!$H$277&lt;&gt;0,'[1]p28'!$H$277,"")</f>
        <v>UAME-UFCG</v>
      </c>
      <c r="S39" s="35">
        <f>IF('[1]p28'!$K$277&lt;&gt;0,'[1]p28'!$K$277,"")</f>
        <v>39615</v>
      </c>
    </row>
    <row r="40" spans="1:19" s="45" customFormat="1" ht="14.25" customHeight="1">
      <c r="A40" s="423" t="str">
        <f>T('[1]p29'!$C$13:$G$13)</f>
        <v>Miriam Costa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</row>
    <row r="41" spans="1:19" s="3" customFormat="1" ht="13.5" customHeight="1">
      <c r="A41" s="413" t="str">
        <f>IF('[1]p29'!$A$271&lt;&gt;0,'[1]p29'!$A$271,"")</f>
        <v>Comissão de Seleção do concurso Público para Professor Substituto da UAME</v>
      </c>
      <c r="B41" s="413"/>
      <c r="C41" s="413"/>
      <c r="D41" s="413"/>
      <c r="E41" s="413"/>
      <c r="F41" s="413"/>
      <c r="G41" s="413"/>
      <c r="H41" s="413">
        <f>IF('[1]p29'!$B$272&lt;&gt;0,'[1]p29'!$B$272,"")</f>
      </c>
      <c r="I41" s="413"/>
      <c r="J41" s="413"/>
      <c r="K41" s="413"/>
      <c r="L41" s="413"/>
      <c r="M41" s="413"/>
      <c r="N41" s="413"/>
      <c r="O41" s="413"/>
      <c r="P41" s="413"/>
      <c r="Q41" s="413"/>
      <c r="R41" s="35" t="str">
        <f>IF('[1]p29'!$H$271&lt;&gt;0,'[1]p29'!$H$271,"")</f>
        <v>UAME</v>
      </c>
      <c r="S41" s="35">
        <f>IF('[1]p29'!$K$271&lt;&gt;0,'[1]p29'!$K$271,"")</f>
        <v>39591</v>
      </c>
    </row>
    <row r="42" spans="1:19" s="45" customFormat="1" ht="14.25" customHeight="1">
      <c r="A42" s="423" t="str">
        <f>T('[1]p30'!$C$13:$G$13)</f>
        <v>Patrícia Batista Leal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</row>
    <row r="43" spans="1:19" s="3" customFormat="1" ht="13.5" customHeight="1">
      <c r="A43" s="413" t="str">
        <f>IF('[1]p30'!$A$271&lt;&gt;0,'[1]p30'!$A$271,"")</f>
        <v>Concurso para Prof. Substituto da UAME</v>
      </c>
      <c r="B43" s="413"/>
      <c r="C43" s="413"/>
      <c r="D43" s="413"/>
      <c r="E43" s="413"/>
      <c r="F43" s="413"/>
      <c r="G43" s="413"/>
      <c r="H43" s="413" t="str">
        <f>IF('[1]p30'!$B$272&lt;&gt;0,'[1]p30'!$B$272,"")</f>
        <v>Banca examinadora de concurso público para professor temporário</v>
      </c>
      <c r="I43" s="413"/>
      <c r="J43" s="413"/>
      <c r="K43" s="413"/>
      <c r="L43" s="413"/>
      <c r="M43" s="413"/>
      <c r="N43" s="413"/>
      <c r="O43" s="413"/>
      <c r="P43" s="413"/>
      <c r="Q43" s="413"/>
      <c r="R43" s="35" t="str">
        <f>IF('[1]p30'!$H$271&lt;&gt;0,'[1]p30'!$H$271,"")</f>
        <v>UFCG</v>
      </c>
      <c r="S43" s="35">
        <f>IF('[1]p30'!$K$271&lt;&gt;0,'[1]p30'!$K$271,"")</f>
        <v>39615</v>
      </c>
    </row>
    <row r="44" spans="1:19" s="45" customFormat="1" ht="14.25" customHeight="1">
      <c r="A44" s="423" t="str">
        <f>T('[1]p35'!$C$13:$G$13)</f>
        <v>Vanio Fragoso de Melo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</row>
    <row r="45" spans="1:19" s="3" customFormat="1" ht="13.5" customHeight="1">
      <c r="A45" s="413" t="str">
        <f>IF('[1]p35'!$A$271&lt;&gt;0,'[1]p35'!$A$271,"")</f>
        <v>Comissão de Seleção do Mestrado</v>
      </c>
      <c r="B45" s="413"/>
      <c r="C45" s="413"/>
      <c r="D45" s="413"/>
      <c r="E45" s="413"/>
      <c r="F45" s="413"/>
      <c r="G45" s="413"/>
      <c r="H45" s="413" t="str">
        <f>IF('[1]p35'!$B$272&lt;&gt;0,'[1]p35'!$B$272,"")</f>
        <v>Banca de seleção de alunos para o mestrado</v>
      </c>
      <c r="I45" s="413"/>
      <c r="J45" s="413"/>
      <c r="K45" s="413"/>
      <c r="L45" s="413"/>
      <c r="M45" s="413"/>
      <c r="N45" s="413"/>
      <c r="O45" s="413"/>
      <c r="P45" s="413"/>
      <c r="Q45" s="413"/>
      <c r="R45" s="35" t="str">
        <f>IF('[1]p35'!$H$271&lt;&gt;0,'[1]p35'!$H$271,"")</f>
        <v>PPGMAT/UAME</v>
      </c>
      <c r="S45" s="35">
        <f>IF('[1]p35'!$K$271&lt;&gt;0,'[1]p35'!$K$271,"")</f>
        <v>39630</v>
      </c>
    </row>
    <row r="46" spans="1:19" s="3" customFormat="1" ht="13.5" customHeight="1">
      <c r="A46" s="413" t="str">
        <f>IF('[1]p35'!$A$274&lt;&gt;0,'[1]p35'!$A$274,"")</f>
        <v>Membro da banca de concurso para prof. Efetivo UFAL/Ararapiraca</v>
      </c>
      <c r="B46" s="413"/>
      <c r="C46" s="413"/>
      <c r="D46" s="413"/>
      <c r="E46" s="413"/>
      <c r="F46" s="413"/>
      <c r="G46" s="413"/>
      <c r="H46" s="413" t="str">
        <f>IF('[1]p35'!$B$275&lt;&gt;0,'[1]p35'!$B$275,"")</f>
        <v>Banca examinadora de concurso público para professor do ensino superior</v>
      </c>
      <c r="I46" s="413"/>
      <c r="J46" s="413"/>
      <c r="K46" s="413"/>
      <c r="L46" s="413"/>
      <c r="M46" s="413"/>
      <c r="N46" s="413"/>
      <c r="O46" s="413"/>
      <c r="P46" s="413"/>
      <c r="Q46" s="413"/>
      <c r="R46" s="35" t="str">
        <f>IF('[1]p35'!$H$274&lt;&gt;0,'[1]p35'!$H$274,"")</f>
        <v>UFAL/ARAPIRACA</v>
      </c>
      <c r="S46" s="35">
        <f>IF('[1]p35'!$K$274&lt;&gt;0,'[1]p35'!$K$274,"")</f>
        <v>39584</v>
      </c>
    </row>
  </sheetData>
  <sheetProtection password="CEFE" sheet="1" objects="1" scenarios="1"/>
  <mergeCells count="72">
    <mergeCell ref="A44:S44"/>
    <mergeCell ref="A45:G45"/>
    <mergeCell ref="H45:Q45"/>
    <mergeCell ref="A46:G46"/>
    <mergeCell ref="H46:Q46"/>
    <mergeCell ref="A23:S23"/>
    <mergeCell ref="A24:G24"/>
    <mergeCell ref="H24:Q24"/>
    <mergeCell ref="A19:G19"/>
    <mergeCell ref="H19:Q19"/>
    <mergeCell ref="A20:G20"/>
    <mergeCell ref="H20:Q20"/>
    <mergeCell ref="A21:S21"/>
    <mergeCell ref="A22:G22"/>
    <mergeCell ref="H22:Q22"/>
    <mergeCell ref="A18:S18"/>
    <mergeCell ref="A14:S14"/>
    <mergeCell ref="A15:G15"/>
    <mergeCell ref="H15:Q15"/>
    <mergeCell ref="A16:G16"/>
    <mergeCell ref="H16:Q16"/>
    <mergeCell ref="A17:G17"/>
    <mergeCell ref="H17:Q17"/>
    <mergeCell ref="A13:G13"/>
    <mergeCell ref="H13:Q13"/>
    <mergeCell ref="A12:S12"/>
    <mergeCell ref="A9:S9"/>
    <mergeCell ref="A10:G10"/>
    <mergeCell ref="H10:Q10"/>
    <mergeCell ref="A4:S5"/>
    <mergeCell ref="H6:Q6"/>
    <mergeCell ref="A6:G6"/>
    <mergeCell ref="A1:S1"/>
    <mergeCell ref="A2:S2"/>
    <mergeCell ref="A3:E3"/>
    <mergeCell ref="F3:Q3"/>
    <mergeCell ref="A7:S7"/>
    <mergeCell ref="A8:G8"/>
    <mergeCell ref="H8:Q8"/>
    <mergeCell ref="A11:G11"/>
    <mergeCell ref="H11:Q11"/>
    <mergeCell ref="A25:S25"/>
    <mergeCell ref="A26:G26"/>
    <mergeCell ref="H26:Q26"/>
    <mergeCell ref="A27:S27"/>
    <mergeCell ref="A33:G33"/>
    <mergeCell ref="H33:Q33"/>
    <mergeCell ref="A34:S34"/>
    <mergeCell ref="A28:G28"/>
    <mergeCell ref="H28:Q28"/>
    <mergeCell ref="A29:G29"/>
    <mergeCell ref="H29:Q29"/>
    <mergeCell ref="A30:G30"/>
    <mergeCell ref="H30:Q30"/>
    <mergeCell ref="A31:S31"/>
    <mergeCell ref="A32:G32"/>
    <mergeCell ref="H32:Q32"/>
    <mergeCell ref="A42:S42"/>
    <mergeCell ref="A43:G43"/>
    <mergeCell ref="H43:Q43"/>
    <mergeCell ref="A39:G39"/>
    <mergeCell ref="H39:Q39"/>
    <mergeCell ref="A40:S40"/>
    <mergeCell ref="A35:G35"/>
    <mergeCell ref="H35:Q35"/>
    <mergeCell ref="A36:S36"/>
    <mergeCell ref="A41:G41"/>
    <mergeCell ref="H41:Q41"/>
    <mergeCell ref="A38:G38"/>
    <mergeCell ref="H38:Q38"/>
    <mergeCell ref="A37:G37"/>
    <mergeCell ref="H37:Q3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94</v>
      </c>
      <c r="B3" s="394"/>
      <c r="C3" s="394"/>
      <c r="D3" s="394"/>
      <c r="E3" s="395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36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27" t="s">
        <v>12</v>
      </c>
      <c r="B6" s="427"/>
      <c r="C6" s="427"/>
      <c r="D6" s="427"/>
      <c r="E6" s="427"/>
      <c r="F6" s="427"/>
      <c r="G6" s="427"/>
      <c r="H6" s="427"/>
      <c r="I6" s="427" t="s">
        <v>24</v>
      </c>
      <c r="J6" s="427"/>
      <c r="K6" s="427"/>
      <c r="L6" s="427"/>
      <c r="M6" s="427"/>
      <c r="N6" s="427"/>
      <c r="O6" s="427"/>
      <c r="P6" s="427"/>
      <c r="Q6" s="427"/>
      <c r="R6" s="33" t="s">
        <v>19</v>
      </c>
      <c r="S6" s="30" t="s">
        <v>25</v>
      </c>
    </row>
    <row r="7" spans="1:19" s="45" customFormat="1" ht="13.5" customHeight="1">
      <c r="A7" s="382" t="str">
        <f>T('[1]p4'!$C$13:$G$13)</f>
        <v>Amauri Araújo Cruz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4"/>
    </row>
    <row r="8" spans="1:19" s="3" customFormat="1" ht="13.5" customHeight="1">
      <c r="A8" s="413" t="str">
        <f>IF('[1]p4'!$A$247&lt;&gt;0,'[1]p4'!$A$247,"")</f>
        <v>Coordenador da disciplina Álgebra Linear I</v>
      </c>
      <c r="B8" s="413"/>
      <c r="C8" s="413"/>
      <c r="D8" s="413"/>
      <c r="E8" s="413"/>
      <c r="F8" s="413"/>
      <c r="G8" s="413"/>
      <c r="H8" s="413"/>
      <c r="I8" s="406" t="str">
        <f>IF('[1]p4'!$B$248&lt;&gt;0,'[1]p4'!$B$248,"")</f>
        <v>Coordenação de disciplina</v>
      </c>
      <c r="J8" s="379"/>
      <c r="K8" s="379"/>
      <c r="L8" s="379"/>
      <c r="M8" s="379"/>
      <c r="N8" s="379"/>
      <c r="O8" s="379"/>
      <c r="P8" s="379"/>
      <c r="Q8" s="380"/>
      <c r="R8" s="35">
        <f>IF('[1]p4'!$J$247&lt;&gt;0,'[1]p4'!$J$247,"")</f>
        <v>39560</v>
      </c>
      <c r="S8" s="35">
        <f>IF('[1]p4'!$K$247&lt;&gt;0,'[1]p4'!$K$247,"")</f>
        <v>39689</v>
      </c>
    </row>
    <row r="9" spans="1:19" s="10" customFormat="1" ht="12.75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</row>
    <row r="10" spans="1:19" s="45" customFormat="1" ht="13.5" customHeight="1">
      <c r="A10" s="382" t="str">
        <f>T('[1]p6'!$C$13:$G$13)</f>
        <v>Antônio José da Silva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4"/>
    </row>
    <row r="11" spans="1:19" s="3" customFormat="1" ht="13.5" customHeight="1">
      <c r="A11" s="413" t="str">
        <f>IF('[1]p6'!$A$247&lt;&gt;0,'[1]p6'!$A$247,"")</f>
        <v>Comissão para elaboração do PPC_Curso de Estatística  do CCT/UFCG</v>
      </c>
      <c r="B11" s="413"/>
      <c r="C11" s="413"/>
      <c r="D11" s="413"/>
      <c r="E11" s="413"/>
      <c r="F11" s="413"/>
      <c r="G11" s="413"/>
      <c r="H11" s="413"/>
      <c r="I11" s="406" t="str">
        <f>IF('[1]p6'!$B$248&lt;&gt;0,'[1]p6'!$B$248,"")</f>
        <v>Participação em comissões acadêmicas, assessorias e consultorias que tratem de assuntos de abrangência do centro por designação do chefe</v>
      </c>
      <c r="J11" s="379"/>
      <c r="K11" s="379"/>
      <c r="L11" s="379"/>
      <c r="M11" s="379"/>
      <c r="N11" s="379"/>
      <c r="O11" s="379"/>
      <c r="P11" s="379"/>
      <c r="Q11" s="380"/>
      <c r="R11" s="35">
        <f>IF('[1]p6'!$J$247&lt;&gt;0,'[1]p6'!$J$247,"")</f>
        <v>39650</v>
      </c>
      <c r="S11" s="35">
        <f>IF('[1]p6'!$K$247&lt;&gt;0,'[1]p6'!$K$247,"")</f>
      </c>
    </row>
    <row r="12" spans="1:19" s="3" customFormat="1" ht="13.5" customHeight="1">
      <c r="A12" s="406" t="str">
        <f>IF('[1]p6'!$A$250&lt;&gt;0,'[1]p6'!$A$250,"")</f>
        <v>IV Encontro de Inferência em Processos Estocásticos Especiais</v>
      </c>
      <c r="B12" s="379"/>
      <c r="C12" s="379"/>
      <c r="D12" s="379"/>
      <c r="E12" s="379"/>
      <c r="F12" s="379"/>
      <c r="G12" s="379"/>
      <c r="H12" s="379"/>
      <c r="I12" s="406" t="str">
        <f>IF('[1]p6'!$B$251&lt;&gt;0,'[1]p6'!$B$251,"")</f>
        <v>Membro de comissão de evento técnico-científico ou artístico-cultural nacional</v>
      </c>
      <c r="J12" s="379"/>
      <c r="K12" s="379"/>
      <c r="L12" s="379"/>
      <c r="M12" s="379"/>
      <c r="N12" s="379"/>
      <c r="O12" s="379"/>
      <c r="P12" s="379"/>
      <c r="Q12" s="380"/>
      <c r="R12" s="35">
        <f>IF('[1]p6'!$J$250&lt;&gt;0,'[1]p6'!$J$250,"")</f>
        <v>39608</v>
      </c>
      <c r="S12" s="35">
        <f>IF('[1]p6'!$K$250&lt;&gt;0,'[1]p6'!$K$250,"")</f>
        <v>39610</v>
      </c>
    </row>
    <row r="13" spans="1:19" s="10" customFormat="1" ht="12.75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</row>
    <row r="14" spans="1:19" s="45" customFormat="1" ht="13.5" customHeight="1">
      <c r="A14" s="382" t="str">
        <f>T('[1]p12'!$C$13:$G$13)</f>
        <v>Daniel Cordeiro de Morais Filho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4"/>
    </row>
    <row r="15" spans="1:19" s="3" customFormat="1" ht="13.5" customHeight="1">
      <c r="A15" s="413" t="str">
        <f>IF('[1]p12'!$A$247&lt;&gt;0,'[1]p12'!$A$247,"")</f>
        <v>Revisor do American Mathematical Reviews</v>
      </c>
      <c r="B15" s="413"/>
      <c r="C15" s="413"/>
      <c r="D15" s="413"/>
      <c r="E15" s="413"/>
      <c r="F15" s="413"/>
      <c r="G15" s="413"/>
      <c r="H15" s="413"/>
      <c r="I15" s="406" t="str">
        <f>IF('[1]p12'!$B$248&lt;&gt;0,'[1]p12'!$B$248,"")</f>
        <v>Consultoria a revistas técnico-científicas ou artístico-culturais (árbitro)</v>
      </c>
      <c r="J15" s="379"/>
      <c r="K15" s="379"/>
      <c r="L15" s="379"/>
      <c r="M15" s="379"/>
      <c r="N15" s="379"/>
      <c r="O15" s="379"/>
      <c r="P15" s="379"/>
      <c r="Q15" s="380"/>
      <c r="R15" s="35">
        <f>IF('[1]p12'!$J$247&lt;&gt;0,'[1]p12'!$J$247,"")</f>
        <v>36892</v>
      </c>
      <c r="S15" s="35">
        <f>IF('[1]p12'!$K$247&lt;&gt;0,'[1]p12'!$K$247,"")</f>
      </c>
    </row>
    <row r="16" spans="1:19" s="10" customFormat="1" ht="12.75">
      <c r="A16" s="426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</row>
    <row r="17" spans="1:19" s="45" customFormat="1" ht="13.5" customHeight="1">
      <c r="A17" s="382" t="str">
        <f>T('[1]p19'!$C$13:$G$13)</f>
        <v>Jesualdo Gomes das Chagas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4"/>
    </row>
    <row r="18" spans="1:19" s="3" customFormat="1" ht="13.5" customHeight="1">
      <c r="A18" s="413" t="str">
        <f>IF('[1]p19'!$A$247&lt;&gt;0,'[1]p19'!$A$247,"")</f>
        <v>Membro da equipe executora do PROLICEM</v>
      </c>
      <c r="B18" s="413"/>
      <c r="C18" s="413"/>
      <c r="D18" s="413"/>
      <c r="E18" s="413"/>
      <c r="F18" s="413"/>
      <c r="G18" s="413"/>
      <c r="H18" s="413"/>
      <c r="I18" s="406" t="str">
        <f>IF('[1]p19'!$B$248&lt;&gt;0,'[1]p19'!$B$248,"")</f>
        <v>Participação em equipe executora e projetos de monitoria, PROLICEN, PROIN ou PET no âmbito do Departamento ou Curso</v>
      </c>
      <c r="J18" s="379"/>
      <c r="K18" s="379"/>
      <c r="L18" s="379"/>
      <c r="M18" s="379"/>
      <c r="N18" s="379"/>
      <c r="O18" s="379"/>
      <c r="P18" s="379"/>
      <c r="Q18" s="380"/>
      <c r="R18" s="35">
        <f>IF('[1]p19'!$J$247&lt;&gt;0,'[1]p19'!$J$247,"")</f>
      </c>
      <c r="S18" s="35">
        <f>IF('[1]p19'!$K$247&lt;&gt;0,'[1]p19'!$K$247,"")</f>
      </c>
    </row>
    <row r="19" spans="1:19" s="10" customFormat="1" ht="12.75">
      <c r="A19" s="426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</row>
    <row r="20" spans="1:19" s="45" customFormat="1" ht="13.5" customHeight="1">
      <c r="A20" s="382" t="str">
        <f>T('[1]p22'!$C$13:$G$13)</f>
        <v>José Lindomberg Possiano Barreiro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4"/>
    </row>
    <row r="21" spans="1:19" s="3" customFormat="1" ht="13.5" customHeight="1">
      <c r="A21" s="413" t="str">
        <f>IF('[1]p22'!$A$247&lt;&gt;0,'[1]p22'!$A$247,"")</f>
        <v>Equações Diferenciais Lineareas</v>
      </c>
      <c r="B21" s="413"/>
      <c r="C21" s="413"/>
      <c r="D21" s="413"/>
      <c r="E21" s="413"/>
      <c r="F21" s="413"/>
      <c r="G21" s="413"/>
      <c r="H21" s="413"/>
      <c r="I21" s="406" t="str">
        <f>IF('[1]p22'!$B$248&lt;&gt;0,'[1]p22'!$B$248,"")</f>
        <v>Coordenação de disciplina</v>
      </c>
      <c r="J21" s="379"/>
      <c r="K21" s="379"/>
      <c r="L21" s="379"/>
      <c r="M21" s="379"/>
      <c r="N21" s="379"/>
      <c r="O21" s="379"/>
      <c r="P21" s="379"/>
      <c r="Q21" s="380"/>
      <c r="R21" s="35">
        <f>IF('[1]p22'!$J$247&lt;&gt;0,'[1]p22'!$J$247,"")</f>
        <v>39560</v>
      </c>
      <c r="S21" s="35">
        <f>IF('[1]p22'!$K$247&lt;&gt;0,'[1]p22'!$K$247,"")</f>
        <v>39685</v>
      </c>
    </row>
    <row r="22" spans="1:19" s="10" customFormat="1" ht="12.75">
      <c r="A22" s="426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</row>
    <row r="23" spans="1:19" s="45" customFormat="1" ht="13.5" customHeight="1">
      <c r="A23" s="382" t="str">
        <f>T('[1]p25'!$C$13:$G$13)</f>
        <v>Marcelo Carvalho Ferreira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4"/>
    </row>
    <row r="24" spans="1:19" s="3" customFormat="1" ht="13.5" customHeight="1">
      <c r="A24" s="413" t="str">
        <f>IF('[1]p25'!$A$247&lt;&gt;0,'[1]p25'!$A$247,"")</f>
        <v>Coordenação de disciplina (Cálculo Diferencial e Integral I)</v>
      </c>
      <c r="B24" s="413"/>
      <c r="C24" s="413"/>
      <c r="D24" s="413"/>
      <c r="E24" s="413"/>
      <c r="F24" s="413"/>
      <c r="G24" s="413"/>
      <c r="H24" s="413"/>
      <c r="I24" s="406" t="str">
        <f>IF('[1]p25'!$B$248&lt;&gt;0,'[1]p25'!$B$248,"")</f>
        <v>Coordenação de disciplina</v>
      </c>
      <c r="J24" s="379"/>
      <c r="K24" s="379"/>
      <c r="L24" s="379"/>
      <c r="M24" s="379"/>
      <c r="N24" s="379"/>
      <c r="O24" s="379"/>
      <c r="P24" s="379"/>
      <c r="Q24" s="380"/>
      <c r="R24" s="35">
        <f>IF('[1]p25'!$J$247&lt;&gt;0,'[1]p25'!$J$247,"")</f>
        <v>39560</v>
      </c>
      <c r="S24" s="35">
        <f>IF('[1]p25'!$K$247&lt;&gt;0,'[1]p25'!$K$247,"")</f>
        <v>39689</v>
      </c>
    </row>
    <row r="25" spans="1:19" s="10" customFormat="1" ht="12.75">
      <c r="A25" s="426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</row>
    <row r="26" spans="1:19" s="45" customFormat="1" ht="13.5" customHeight="1">
      <c r="A26" s="382" t="str">
        <f>T('[1]p30'!$C$13:$G$13)</f>
        <v>Patrícia Batista Leal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4"/>
    </row>
    <row r="27" spans="1:19" s="3" customFormat="1" ht="13.5" customHeight="1">
      <c r="A27" s="413" t="str">
        <f>IF('[1]p30'!$A$247&lt;&gt;0,'[1]p30'!$A$247,"")</f>
        <v>Coordenadora da disciplina Probabilidade e Estatística</v>
      </c>
      <c r="B27" s="413"/>
      <c r="C27" s="413"/>
      <c r="D27" s="413"/>
      <c r="E27" s="413"/>
      <c r="F27" s="413"/>
      <c r="G27" s="413"/>
      <c r="H27" s="413"/>
      <c r="I27" s="406">
        <f>IF('[1]p30'!$B$248&lt;&gt;0,'[1]p30'!$B$248,"")</f>
      </c>
      <c r="J27" s="379"/>
      <c r="K27" s="379"/>
      <c r="L27" s="379"/>
      <c r="M27" s="379"/>
      <c r="N27" s="379"/>
      <c r="O27" s="379"/>
      <c r="P27" s="379"/>
      <c r="Q27" s="380"/>
      <c r="R27" s="35">
        <f>IF('[1]p30'!$J$247&lt;&gt;0,'[1]p30'!$J$247,"")</f>
        <v>39560</v>
      </c>
      <c r="S27" s="35">
        <f>IF('[1]p30'!$K$247&lt;&gt;0,'[1]p30'!$K$247,"")</f>
        <v>39689</v>
      </c>
    </row>
    <row r="28" spans="1:19" s="10" customFormat="1" ht="12.75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</row>
    <row r="29" spans="1:19" s="45" customFormat="1" ht="13.5" customHeight="1">
      <c r="A29" s="382" t="str">
        <f>T('[1]p31'!$C$13:$G$13)</f>
        <v>Rosana Marques da Silva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4"/>
    </row>
    <row r="30" spans="1:19" s="3" customFormat="1" ht="13.5" customHeight="1">
      <c r="A30" s="413" t="str">
        <f>IF('[1]p31'!$A$247&lt;&gt;0,'[1]p31'!$A$247,"")</f>
        <v>Programa Interdepartamental de Tecnologia em Petróleo e Gás - PRH(25)</v>
      </c>
      <c r="B30" s="413"/>
      <c r="C30" s="413"/>
      <c r="D30" s="413"/>
      <c r="E30" s="413"/>
      <c r="F30" s="413"/>
      <c r="G30" s="413"/>
      <c r="H30" s="413"/>
      <c r="I30" s="406" t="str">
        <f>IF('[1]p31'!$B$248&lt;&gt;0,'[1]p31'!$B$248,"")</f>
        <v>Participação em equipe executora e projetos permanentes institucionais</v>
      </c>
      <c r="J30" s="379"/>
      <c r="K30" s="379"/>
      <c r="L30" s="379"/>
      <c r="M30" s="379"/>
      <c r="N30" s="379"/>
      <c r="O30" s="379"/>
      <c r="P30" s="379"/>
      <c r="Q30" s="380"/>
      <c r="R30" s="35">
        <f>IF('[1]p31'!$J$247&lt;&gt;0,'[1]p31'!$J$247,"")</f>
        <v>36528</v>
      </c>
      <c r="S30" s="35">
        <f>IF('[1]p31'!$K$247&lt;&gt;0,'[1]p31'!$K$247,"")</f>
      </c>
    </row>
  </sheetData>
  <sheetProtection password="CEFE" sheet="1" objects="1" scenarios="1"/>
  <mergeCells count="40">
    <mergeCell ref="A29:S29"/>
    <mergeCell ref="A30:H30"/>
    <mergeCell ref="I30:Q30"/>
    <mergeCell ref="A24:H24"/>
    <mergeCell ref="I24:Q24"/>
    <mergeCell ref="A28:S28"/>
    <mergeCell ref="A25:S25"/>
    <mergeCell ref="A26:S26"/>
    <mergeCell ref="A27:H27"/>
    <mergeCell ref="I27:Q27"/>
    <mergeCell ref="A14:S14"/>
    <mergeCell ref="A15:H15"/>
    <mergeCell ref="I15:Q15"/>
    <mergeCell ref="A21:H21"/>
    <mergeCell ref="I21:Q21"/>
    <mergeCell ref="A19:S19"/>
    <mergeCell ref="A20:S20"/>
    <mergeCell ref="A23:S23"/>
    <mergeCell ref="A22:S22"/>
    <mergeCell ref="A16:S16"/>
    <mergeCell ref="A17:S17"/>
    <mergeCell ref="A18:H18"/>
    <mergeCell ref="I18:Q18"/>
    <mergeCell ref="A13:S13"/>
    <mergeCell ref="A11:H11"/>
    <mergeCell ref="I11:Q11"/>
    <mergeCell ref="A12:H12"/>
    <mergeCell ref="I12:Q12"/>
    <mergeCell ref="A9:S9"/>
    <mergeCell ref="A10:S10"/>
    <mergeCell ref="A7:S7"/>
    <mergeCell ref="A4:S5"/>
    <mergeCell ref="A6:H6"/>
    <mergeCell ref="I6:Q6"/>
    <mergeCell ref="A8:H8"/>
    <mergeCell ref="I8:Q8"/>
    <mergeCell ref="A1:S1"/>
    <mergeCell ref="A2:S2"/>
    <mergeCell ref="A3:E3"/>
    <mergeCell ref="F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27" t="s">
        <v>169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282" t="s">
        <v>245</v>
      </c>
      <c r="B3" s="283"/>
      <c r="C3" s="283"/>
      <c r="D3" s="297"/>
      <c r="E3" s="432"/>
      <c r="F3" s="429"/>
      <c r="G3" s="429"/>
      <c r="H3" s="429"/>
      <c r="I3" s="429"/>
      <c r="J3" s="429"/>
      <c r="K3" s="429"/>
      <c r="L3" s="429"/>
      <c r="M3" s="433"/>
      <c r="N3" s="430" t="s">
        <v>79</v>
      </c>
      <c r="O3" s="431"/>
      <c r="P3" s="283" t="str">
        <f>'[1]p1'!$H$4</f>
        <v>2008.1</v>
      </c>
      <c r="Q3" s="297"/>
    </row>
    <row r="4" spans="1:17" s="63" customFormat="1" ht="12.75">
      <c r="A4" s="428" t="s">
        <v>298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 s="65" customFormat="1" ht="12.75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</sheetData>
  <sheetProtection password="CEFE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27" t="s">
        <v>169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282" t="s">
        <v>244</v>
      </c>
      <c r="B3" s="283"/>
      <c r="C3" s="283"/>
      <c r="D3" s="297"/>
      <c r="E3" s="432"/>
      <c r="F3" s="429"/>
      <c r="G3" s="429"/>
      <c r="H3" s="429"/>
      <c r="I3" s="429"/>
      <c r="J3" s="429"/>
      <c r="K3" s="429"/>
      <c r="L3" s="429"/>
      <c r="M3" s="433"/>
      <c r="N3" s="430" t="s">
        <v>79</v>
      </c>
      <c r="O3" s="431"/>
      <c r="P3" s="283" t="str">
        <f>'[1]p1'!$H$4</f>
        <v>2008.1</v>
      </c>
      <c r="Q3" s="297"/>
    </row>
    <row r="4" spans="1:17" s="63" customFormat="1" ht="12.75">
      <c r="A4" s="428" t="s">
        <v>298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 s="65" customFormat="1" ht="12.75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</sheetData>
  <sheetProtection password="CEFE" sheet="1" objects="1" scenarios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27" t="s">
        <v>169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282" t="s">
        <v>243</v>
      </c>
      <c r="B3" s="283"/>
      <c r="C3" s="283"/>
      <c r="D3" s="297"/>
      <c r="E3" s="432"/>
      <c r="F3" s="429"/>
      <c r="G3" s="429"/>
      <c r="H3" s="429"/>
      <c r="I3" s="429"/>
      <c r="J3" s="429"/>
      <c r="K3" s="429"/>
      <c r="L3" s="429"/>
      <c r="M3" s="433"/>
      <c r="N3" s="430" t="s">
        <v>79</v>
      </c>
      <c r="O3" s="431"/>
      <c r="P3" s="283" t="str">
        <f>'[1]p1'!$H$4</f>
        <v>2008.1</v>
      </c>
      <c r="Q3" s="297"/>
    </row>
    <row r="4" spans="1:17" s="63" customFormat="1" ht="12.7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spans="1:17" s="65" customFormat="1" ht="12.75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  <row r="6" spans="1:19" s="46" customFormat="1" ht="11.25" customHeight="1">
      <c r="A6" s="382" t="str">
        <f>T('[1]p7'!$C$13:$G$13)</f>
        <v>Antônio Pereira Brandão Júnior</v>
      </c>
      <c r="B6" s="381"/>
      <c r="C6" s="381"/>
      <c r="D6" s="381"/>
      <c r="E6" s="384"/>
      <c r="F6" s="437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117"/>
      <c r="R6" s="65"/>
      <c r="S6" s="39"/>
    </row>
    <row r="7" spans="1:17" s="66" customFormat="1" ht="15" customHeight="1">
      <c r="A7" s="434" t="str">
        <f>IF('[1]p7'!$A$200:$L$200&lt;&gt;0,'[1]p7'!$A$200:$L$200,"")</f>
        <v>A. Brandão Jr. , Graded Central Polynomials for the Algebra M_n(K), Rendiconti del Circolo Matematico di Palermo, 57, 267 - 280, 2008.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7" s="66" customFormat="1" ht="13.5" customHeight="1">
      <c r="A8" s="67" t="s">
        <v>27</v>
      </c>
      <c r="B8" s="435" t="str">
        <f>IF('[1]p7'!$B$201:$L$201&lt;&gt;0,'[1]p7'!$B$201:$L$201,"")</f>
        <v>Artigo técnico ou científico publicado em periódico indexado internacionalmente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</row>
    <row r="9" spans="1:17" s="65" customFormat="1" ht="12.75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</row>
    <row r="10" spans="1:19" s="46" customFormat="1" ht="11.25" customHeight="1">
      <c r="A10" s="382" t="str">
        <f>T('[1]p8'!$C$13:$G$13)</f>
        <v>Aparecido Jesuino de Souza</v>
      </c>
      <c r="B10" s="381"/>
      <c r="C10" s="381"/>
      <c r="D10" s="381"/>
      <c r="E10" s="384"/>
      <c r="F10" s="437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117"/>
      <c r="R10" s="65"/>
      <c r="S10" s="39"/>
    </row>
    <row r="11" spans="1:17" s="66" customFormat="1" ht="15" customHeight="1">
      <c r="A11" s="434" t="str">
        <f>IF('[1]p8'!$A$200:$L$200&lt;&gt;0,'[1]p8'!$A$200:$L$200,"")</f>
        <v>Azevedo, A. ; Furtado, F. ; Marchesin, D. ; Souza, A. J.; The Riemann Solution of a Three-Phase Model in Porous Medias with Realistic Fluid Viscosities, Book of Abstracts of the HYP2008, pp 125-126, 2008.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</row>
    <row r="12" spans="1:17" s="66" customFormat="1" ht="13.5" customHeight="1">
      <c r="A12" s="67" t="s">
        <v>27</v>
      </c>
      <c r="B12" s="435" t="str">
        <f>IF('[1]p8'!$B$201:$L$201&lt;&gt;0,'[1]p8'!$B$201:$L$201,"")</f>
        <v>Resumo publicado em anais de eventos internacionais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</row>
    <row r="13" spans="1:17" s="65" customFormat="1" ht="12.75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</row>
    <row r="14" spans="1:19" s="46" customFormat="1" ht="11.25" customHeight="1">
      <c r="A14" s="382" t="str">
        <f>T('[1]p11'!$C$13:$G$13)</f>
        <v>Claudianor Oliveira Alves</v>
      </c>
      <c r="B14" s="381"/>
      <c r="C14" s="381"/>
      <c r="D14" s="381"/>
      <c r="E14" s="384"/>
      <c r="F14" s="437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117"/>
      <c r="R14" s="65"/>
      <c r="S14" s="39"/>
    </row>
    <row r="15" spans="1:17" s="66" customFormat="1" ht="15.75" customHeight="1">
      <c r="A15" s="434" t="str">
        <f>IF('[1]p11'!$A$200:$L$200&lt;&gt;0,'[1]p11'!$A$200:$L$200,"")</f>
        <v>Alves, C. O., Existence of positive solution for a degenerate p(x)-Laplacian equation in RN, Journal of Mathematical Analysis and Applications, v. 345, p. 731-742, 2008. 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</row>
    <row r="16" spans="1:17" s="66" customFormat="1" ht="13.5" customHeight="1">
      <c r="A16" s="67" t="s">
        <v>27</v>
      </c>
      <c r="B16" s="435" t="str">
        <f>IF('[1]p11'!$B$201:$L$201&lt;&gt;0,'[1]p11'!$B$201:$L$201,"")</f>
        <v>Artigo técnico ou científico publicado em periódico indexado internacionalmente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</row>
    <row r="17" spans="1:17" s="65" customFormat="1" ht="12.75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</row>
    <row r="18" spans="1:19" s="46" customFormat="1" ht="11.25" customHeight="1">
      <c r="A18" s="382" t="str">
        <f>T('[1]p17'!$C$13:$G$13)</f>
        <v>Henrique Fernandes de Lima</v>
      </c>
      <c r="B18" s="381"/>
      <c r="C18" s="381"/>
      <c r="D18" s="381"/>
      <c r="E18" s="384"/>
      <c r="F18" s="437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117"/>
      <c r="R18" s="65"/>
      <c r="S18" s="39"/>
    </row>
    <row r="19" spans="1:17" s="66" customFormat="1" ht="15" customHeight="1">
      <c r="A19" s="434" t="str">
        <f>IF('[1]p17'!$A$200:$L$200&lt;&gt;0,'[1]p17'!$A$200:$L$200,"")</f>
        <v>Lima, H. F. . A sharp height estimate for compact spacelike hypersurfaces with constant r-mean curvature in the Lorentz-Minkowski space. Differential Geometry and Its Applications, v. 26, p. 445-455, 2008. 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</row>
    <row r="20" spans="1:17" s="66" customFormat="1" ht="13.5" customHeight="1">
      <c r="A20" s="67" t="s">
        <v>27</v>
      </c>
      <c r="B20" s="435" t="str">
        <f>IF('[1]p17'!$B$201:$L$201&lt;&gt;0,'[1]p17'!$B$201:$L$201,"")</f>
        <v>Artigo técnico ou científico publicado em periódico indexado internacionalmente</v>
      </c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</row>
    <row r="21" spans="1:17" s="65" customFormat="1" ht="12.75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</row>
    <row r="22" spans="1:19" s="46" customFormat="1" ht="11.25" customHeight="1">
      <c r="A22" s="382" t="str">
        <f>T('[1]p26'!$C$13:$G$13)</f>
        <v>Marco Aurélio Soares Souto</v>
      </c>
      <c r="B22" s="381"/>
      <c r="C22" s="381"/>
      <c r="D22" s="381"/>
      <c r="E22" s="384"/>
      <c r="F22" s="437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117"/>
      <c r="R22" s="65"/>
      <c r="S22" s="39"/>
    </row>
    <row r="23" spans="1:17" s="66" customFormat="1" ht="14.25" customHeight="1">
      <c r="A23" s="434" t="str">
        <f>IF('[1]p26'!$A$204:$L$204&lt;&gt;0,'[1]p26'!$A$204:$L$204,"")</f>
        <v>Souto, M. S. e Alves, C. O. Multiplicity of positive solutions for a class of problems with exponential critical growth in R^2, Journal of Differential Equations, v. 244, p. 1502-1520, 2008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</row>
    <row r="24" spans="1:17" s="66" customFormat="1" ht="13.5" customHeight="1">
      <c r="A24" s="67" t="s">
        <v>27</v>
      </c>
      <c r="B24" s="435" t="str">
        <f>IF('[1]p26'!$B$205:$L$205&lt;&gt;0,'[1]p26'!$B$205:$L$205,"")</f>
        <v>Artigo técnico ou científico publicado em periódico indexado internacionalmente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</row>
    <row r="25" spans="1:17" s="65" customFormat="1" ht="12.75">
      <c r="A25" s="436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</row>
    <row r="26" spans="1:19" s="46" customFormat="1" ht="11.25" customHeight="1">
      <c r="A26" s="382" t="str">
        <f>T('[1]p28'!$C$13:$G$13)</f>
        <v>Michelli Karinne Barros da Silva</v>
      </c>
      <c r="B26" s="381"/>
      <c r="C26" s="381"/>
      <c r="D26" s="381"/>
      <c r="E26" s="384"/>
      <c r="F26" s="437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117"/>
      <c r="R26" s="65"/>
      <c r="S26" s="39"/>
    </row>
    <row r="27" spans="1:17" s="66" customFormat="1" ht="14.25" customHeight="1">
      <c r="A27" s="434" t="str">
        <f>IF('[1]p28'!$A$200:$L$200&lt;&gt;0,'[1]p28'!$A$200:$L$200,"")</f>
        <v> Barros, Michelli; Paula, G.A.;Leiva, V. A New Class of Survival Regression Models with Heavy-Tailed Errors: Robustness and Diagnostics.  Lifetime Data Analysis,v. 14, p. 1-17, 2008. 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</row>
    <row r="28" spans="1:17" s="66" customFormat="1" ht="13.5" customHeight="1">
      <c r="A28" s="67" t="s">
        <v>27</v>
      </c>
      <c r="B28" s="435" t="str">
        <f>IF('[1]p28'!$B$201:$L$201&lt;&gt;0,'[1]p28'!$B$201:$L$201,"")</f>
        <v>Artigo técnico ou científico publicado em periódico indexado internacionalmente</v>
      </c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</row>
  </sheetData>
  <sheetProtection password="CEFE" sheet="1" objects="1" scenarios="1"/>
  <mergeCells count="36">
    <mergeCell ref="A1:Q1"/>
    <mergeCell ref="P3:Q3"/>
    <mergeCell ref="N3:O3"/>
    <mergeCell ref="E3:M3"/>
    <mergeCell ref="A4:Q5"/>
    <mergeCell ref="A2:Q2"/>
    <mergeCell ref="A3:D3"/>
    <mergeCell ref="A6:E6"/>
    <mergeCell ref="F6:P6"/>
    <mergeCell ref="A7:Q7"/>
    <mergeCell ref="B8:Q8"/>
    <mergeCell ref="A9:Q9"/>
    <mergeCell ref="A11:Q11"/>
    <mergeCell ref="A10:E10"/>
    <mergeCell ref="F10:P10"/>
    <mergeCell ref="B12:Q12"/>
    <mergeCell ref="A13:Q13"/>
    <mergeCell ref="A15:Q15"/>
    <mergeCell ref="A14:E14"/>
    <mergeCell ref="F14:P14"/>
    <mergeCell ref="B16:Q16"/>
    <mergeCell ref="A17:Q17"/>
    <mergeCell ref="A18:E18"/>
    <mergeCell ref="F18:P18"/>
    <mergeCell ref="A19:Q19"/>
    <mergeCell ref="B20:Q20"/>
    <mergeCell ref="A21:Q21"/>
    <mergeCell ref="A22:E22"/>
    <mergeCell ref="F22:P22"/>
    <mergeCell ref="A27:Q27"/>
    <mergeCell ref="B28:Q28"/>
    <mergeCell ref="A23:Q23"/>
    <mergeCell ref="B24:Q24"/>
    <mergeCell ref="A25:Q25"/>
    <mergeCell ref="A26:E26"/>
    <mergeCell ref="F26:P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64"/>
    </row>
    <row r="2" spans="1:17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64"/>
    </row>
    <row r="3" spans="1:17" ht="13.5" thickBot="1">
      <c r="A3" s="393" t="s">
        <v>249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400"/>
      <c r="M3" s="396" t="s">
        <v>79</v>
      </c>
      <c r="N3" s="397"/>
      <c r="O3" s="394" t="str">
        <f>'[1]p1'!$H$4</f>
        <v>2008.1</v>
      </c>
      <c r="P3" s="395"/>
      <c r="Q3" s="64"/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64"/>
    </row>
    <row r="5" spans="1:17" s="38" customFormat="1" ht="11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64"/>
    </row>
    <row r="6" spans="1:19" s="46" customFormat="1" ht="11.25" customHeight="1">
      <c r="A6" s="382" t="str">
        <f>T('[1]p9'!$C$13:$G$13)</f>
        <v>Bianca Morelli Casalvara Caretta</v>
      </c>
      <c r="B6" s="381"/>
      <c r="C6" s="381"/>
      <c r="D6" s="381"/>
      <c r="E6" s="384"/>
      <c r="F6" s="439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64"/>
      <c r="R6" s="39"/>
      <c r="S6" s="39"/>
    </row>
    <row r="7" spans="1:17" s="3" customFormat="1" ht="13.5" customHeight="1">
      <c r="A7" s="25" t="s">
        <v>75</v>
      </c>
      <c r="B7" s="380" t="str">
        <f>IF('[1]p9'!$A$180&lt;&gt;0,'[1]p9'!$A$180,"")</f>
        <v>Comissão de Olimpíada Campinense de Matemática</v>
      </c>
      <c r="C7" s="413"/>
      <c r="D7" s="413"/>
      <c r="E7" s="413"/>
      <c r="F7" s="413"/>
      <c r="G7" s="413"/>
      <c r="H7" s="413"/>
      <c r="I7" s="413"/>
      <c r="J7" s="423" t="s">
        <v>88</v>
      </c>
      <c r="K7" s="382"/>
      <c r="L7" s="114" t="str">
        <f>IF('[1]p9'!$I$180&lt;&gt;0,'[1]p9'!$I$180,"")</f>
        <v>Permanente</v>
      </c>
      <c r="M7" s="61" t="s">
        <v>233</v>
      </c>
      <c r="N7" s="379" t="str">
        <f>IF('[1]p9'!$K$180&lt;&gt;0,'[1]p9'!$K$180,"")</f>
        <v>Em andamento</v>
      </c>
      <c r="O7" s="379"/>
      <c r="P7" s="380"/>
      <c r="Q7" s="64"/>
    </row>
    <row r="8" spans="1:17" s="3" customFormat="1" ht="13.5" customHeight="1">
      <c r="A8" s="25" t="s">
        <v>86</v>
      </c>
      <c r="B8" s="443" t="str">
        <f>IF('[1]p9'!$H$182&lt;&gt;0,'[1]p9'!$H$182,"")</f>
        <v>Participante</v>
      </c>
      <c r="C8" s="444"/>
      <c r="D8" s="447" t="s">
        <v>88</v>
      </c>
      <c r="E8" s="448"/>
      <c r="F8" s="443" t="str">
        <f>IF('[1]p9'!$I$180&lt;&gt;0,'[1]p9'!$I$180,"")</f>
        <v>Permanente</v>
      </c>
      <c r="G8" s="443"/>
      <c r="H8" s="444"/>
      <c r="I8" s="25" t="s">
        <v>73</v>
      </c>
      <c r="J8" s="115">
        <f>IF('[1]p9'!$J$163&lt;&gt;0,'[1]p9'!$J$163,"")</f>
        <v>39144</v>
      </c>
      <c r="K8" s="25" t="s">
        <v>74</v>
      </c>
      <c r="L8" s="115">
        <f>IF('[1]p9'!$K$163&lt;&gt;0,'[1]p9'!$K$163,"")</f>
        <v>39874</v>
      </c>
      <c r="M8" s="447" t="s">
        <v>90</v>
      </c>
      <c r="N8" s="448"/>
      <c r="O8" s="441">
        <f>IF('[1]p9'!$F$182&lt;&gt;0,'[1]p9'!$F$182,"")</f>
      </c>
      <c r="P8" s="442"/>
      <c r="Q8" s="64"/>
    </row>
    <row r="9" spans="1:17" s="3" customFormat="1" ht="13.5" customHeight="1">
      <c r="A9" s="25" t="s">
        <v>241</v>
      </c>
      <c r="B9" s="443" t="str">
        <f>IF('[1]p9'!$A$182&lt;&gt;0,'[1]p9'!$A$182,"")</f>
        <v>Ensino</v>
      </c>
      <c r="C9" s="443"/>
      <c r="D9" s="443"/>
      <c r="E9" s="443"/>
      <c r="F9" s="443"/>
      <c r="G9" s="443"/>
      <c r="H9" s="443"/>
      <c r="I9" s="443"/>
      <c r="J9" s="444"/>
      <c r="K9" s="445" t="s">
        <v>89</v>
      </c>
      <c r="L9" s="446"/>
      <c r="M9" s="379" t="str">
        <f>IF('[1]p9'!$I$184&lt;&gt;0,'[1]p9'!$I$184,"")</f>
        <v>UFCG</v>
      </c>
      <c r="N9" s="379"/>
      <c r="O9" s="379"/>
      <c r="P9" s="380"/>
      <c r="Q9" s="47"/>
    </row>
    <row r="10" spans="1:17" s="3" customFormat="1" ht="13.5" customHeight="1">
      <c r="A10" s="25" t="s">
        <v>87</v>
      </c>
      <c r="B10" s="379" t="str">
        <f>IF('[1]p9'!$E$184&lt;&gt;0,'[1]p9'!$E$184,"")</f>
        <v>Alunos e professores das redes pública e privada de ensinos fundamental e médio de CG e região</v>
      </c>
      <c r="C10" s="379"/>
      <c r="D10" s="379"/>
      <c r="E10" s="379"/>
      <c r="F10" s="379"/>
      <c r="G10" s="379"/>
      <c r="H10" s="379"/>
      <c r="I10" s="382" t="s">
        <v>242</v>
      </c>
      <c r="J10" s="379"/>
      <c r="K10" s="379"/>
      <c r="L10" s="111">
        <f>IF('[1]p9'!$K$184&lt;&gt;0,'[1]p9'!$K$184,"")</f>
      </c>
      <c r="M10" s="382" t="s">
        <v>234</v>
      </c>
      <c r="N10" s="381"/>
      <c r="O10" s="379">
        <f>IF('[1]p9'!$D$182&lt;&gt;0,'[1]p9'!$D$182,"")</f>
      </c>
      <c r="P10" s="380"/>
      <c r="Q10" s="47"/>
    </row>
    <row r="11" spans="1:18" ht="12.75">
      <c r="A11" s="382" t="s">
        <v>236</v>
      </c>
      <c r="B11" s="381"/>
      <c r="C11" s="116">
        <f>'[1]p9'!$A$186</f>
        <v>0</v>
      </c>
      <c r="D11" s="423" t="s">
        <v>240</v>
      </c>
      <c r="E11" s="423"/>
      <c r="F11" s="423"/>
      <c r="G11" s="382"/>
      <c r="H11" s="449">
        <f>'[1]p9'!$D$186</f>
        <v>0</v>
      </c>
      <c r="I11" s="450"/>
      <c r="J11" s="382" t="s">
        <v>238</v>
      </c>
      <c r="K11" s="381"/>
      <c r="L11" s="449">
        <f>'[1]p9'!$G$186</f>
        <v>0</v>
      </c>
      <c r="M11" s="450"/>
      <c r="N11" s="112" t="s">
        <v>239</v>
      </c>
      <c r="O11" s="449">
        <f>'[1]p9'!$J$186</f>
        <v>0</v>
      </c>
      <c r="P11" s="450"/>
      <c r="Q11" s="47"/>
      <c r="R11" s="3"/>
    </row>
    <row r="12" spans="1:16" ht="12.75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</row>
    <row r="13" spans="1:19" s="46" customFormat="1" ht="11.25" customHeight="1">
      <c r="A13" s="382" t="str">
        <f>T('[1]p12'!$C$13:$G$13)</f>
        <v>Daniel Cordeiro de Morais Filho</v>
      </c>
      <c r="B13" s="381"/>
      <c r="C13" s="381"/>
      <c r="D13" s="381"/>
      <c r="E13" s="384"/>
      <c r="F13" s="439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64"/>
      <c r="R13" s="39"/>
      <c r="S13" s="39"/>
    </row>
    <row r="14" spans="1:17" s="3" customFormat="1" ht="13.5" customHeight="1">
      <c r="A14" s="25" t="s">
        <v>75</v>
      </c>
      <c r="B14" s="380" t="str">
        <f>IF('[1]p12'!$A$171&lt;&gt;0,'[1]p12'!$A$171,"")</f>
        <v>COORDENADOR DO CAPMEM</v>
      </c>
      <c r="C14" s="413"/>
      <c r="D14" s="413"/>
      <c r="E14" s="413"/>
      <c r="F14" s="413"/>
      <c r="G14" s="413"/>
      <c r="H14" s="413"/>
      <c r="I14" s="413"/>
      <c r="J14" s="423" t="s">
        <v>88</v>
      </c>
      <c r="K14" s="382"/>
      <c r="L14" s="114" t="str">
        <f>IF('[1]p12'!$I$171&lt;&gt;0,'[1]p12'!$I$171,"")</f>
        <v>Permanente</v>
      </c>
      <c r="M14" s="61" t="s">
        <v>233</v>
      </c>
      <c r="N14" s="379" t="str">
        <f>IF('[1]p12'!$K$171&lt;&gt;0,'[1]p12'!$K$171,"")</f>
        <v>Em andamento</v>
      </c>
      <c r="O14" s="379"/>
      <c r="P14" s="380"/>
      <c r="Q14" s="64"/>
    </row>
    <row r="15" spans="1:17" s="3" customFormat="1" ht="13.5" customHeight="1">
      <c r="A15" s="25" t="s">
        <v>86</v>
      </c>
      <c r="B15" s="443" t="str">
        <f>IF('[1]p12'!$H$173&lt;&gt;0,'[1]p12'!$H$173,"")</f>
        <v>Coordenador</v>
      </c>
      <c r="C15" s="444"/>
      <c r="D15" s="447" t="s">
        <v>88</v>
      </c>
      <c r="E15" s="448"/>
      <c r="F15" s="443" t="str">
        <f>IF('[1]p12'!$I$171&lt;&gt;0,'[1]p12'!$I$171,"")</f>
        <v>Permanente</v>
      </c>
      <c r="G15" s="443"/>
      <c r="H15" s="444"/>
      <c r="I15" s="25" t="s">
        <v>73</v>
      </c>
      <c r="J15" s="115">
        <f>IF('[1]p12'!$J$163&lt;&gt;0,'[1]p12'!$J$163,"")</f>
        <v>39144</v>
      </c>
      <c r="K15" s="25" t="s">
        <v>74</v>
      </c>
      <c r="L15" s="115">
        <f>IF('[1]p12'!$K$163&lt;&gt;0,'[1]p12'!$K$163,"")</f>
        <v>39874</v>
      </c>
      <c r="M15" s="447" t="s">
        <v>90</v>
      </c>
      <c r="N15" s="448"/>
      <c r="O15" s="441">
        <f>IF('[1]p12'!$F$173&lt;&gt;0,'[1]p12'!$F$173,"")</f>
      </c>
      <c r="P15" s="442"/>
      <c r="Q15" s="64"/>
    </row>
    <row r="16" spans="1:17" s="3" customFormat="1" ht="13.5" customHeight="1">
      <c r="A16" s="25" t="s">
        <v>241</v>
      </c>
      <c r="B16" s="443" t="str">
        <f>IF('[1]p12'!$A$173&lt;&gt;0,'[1]p12'!$A$173,"")</f>
        <v>Ensino</v>
      </c>
      <c r="C16" s="443"/>
      <c r="D16" s="443"/>
      <c r="E16" s="443"/>
      <c r="F16" s="443"/>
      <c r="G16" s="443"/>
      <c r="H16" s="443"/>
      <c r="I16" s="443"/>
      <c r="J16" s="444"/>
      <c r="K16" s="445" t="s">
        <v>89</v>
      </c>
      <c r="L16" s="446"/>
      <c r="M16" s="379">
        <f>IF('[1]p12'!$I$175&lt;&gt;0,'[1]p12'!$I$175,"")</f>
      </c>
      <c r="N16" s="379"/>
      <c r="O16" s="379"/>
      <c r="P16" s="380"/>
      <c r="Q16" s="47"/>
    </row>
    <row r="17" spans="1:17" s="3" customFormat="1" ht="13.5" customHeight="1">
      <c r="A17" s="25" t="s">
        <v>87</v>
      </c>
      <c r="B17" s="379">
        <f>IF('[1]p12'!$E$175&lt;&gt;0,'[1]p12'!$E$175,"")</f>
      </c>
      <c r="C17" s="379"/>
      <c r="D17" s="379"/>
      <c r="E17" s="379"/>
      <c r="F17" s="379"/>
      <c r="G17" s="379"/>
      <c r="H17" s="379"/>
      <c r="I17" s="382" t="s">
        <v>242</v>
      </c>
      <c r="J17" s="379"/>
      <c r="K17" s="379"/>
      <c r="L17" s="111">
        <f>IF('[1]p12'!$K$175&lt;&gt;0,'[1]p12'!$K$175,"")</f>
      </c>
      <c r="M17" s="382" t="s">
        <v>234</v>
      </c>
      <c r="N17" s="381"/>
      <c r="O17" s="379">
        <f>IF('[1]p12'!$D$173&lt;&gt;0,'[1]p12'!$D$173,"")</f>
      </c>
      <c r="P17" s="380"/>
      <c r="Q17" s="47"/>
    </row>
    <row r="18" spans="1:18" ht="12.75">
      <c r="A18" s="382" t="s">
        <v>236</v>
      </c>
      <c r="B18" s="381"/>
      <c r="C18" s="116">
        <f>'[1]p12'!$A$177</f>
        <v>0</v>
      </c>
      <c r="D18" s="423" t="s">
        <v>240</v>
      </c>
      <c r="E18" s="423"/>
      <c r="F18" s="423"/>
      <c r="G18" s="382"/>
      <c r="H18" s="449">
        <f>'[1]p12'!$D$177</f>
        <v>0</v>
      </c>
      <c r="I18" s="450"/>
      <c r="J18" s="382" t="s">
        <v>238</v>
      </c>
      <c r="K18" s="381"/>
      <c r="L18" s="449">
        <f>'[1]p12'!$G$177</f>
        <v>0</v>
      </c>
      <c r="M18" s="450"/>
      <c r="N18" s="112" t="s">
        <v>239</v>
      </c>
      <c r="O18" s="449">
        <f>'[1]p12'!$J$177</f>
        <v>0</v>
      </c>
      <c r="P18" s="450"/>
      <c r="Q18" s="47"/>
      <c r="R18" s="3"/>
    </row>
    <row r="19" spans="1:16" ht="12.75">
      <c r="A19" s="426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</row>
    <row r="20" spans="1:19" s="46" customFormat="1" ht="11.25" customHeight="1">
      <c r="A20" s="382" t="str">
        <f>T('[1]p20'!$C$13:$G$13)</f>
        <v>José de Arimatéia Fernandes</v>
      </c>
      <c r="B20" s="381"/>
      <c r="C20" s="381"/>
      <c r="D20" s="381"/>
      <c r="E20" s="384"/>
      <c r="F20" s="439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64"/>
      <c r="R20" s="39"/>
      <c r="S20" s="39"/>
    </row>
    <row r="21" spans="1:17" s="3" customFormat="1" ht="13.5" customHeight="1">
      <c r="A21" s="25" t="s">
        <v>75</v>
      </c>
      <c r="B21" s="380" t="str">
        <f>IF('[1]p20'!$A$171&lt;&gt;0,'[1]p20'!$A$171,"")</f>
        <v>Olimpíada Campinense de Matemática</v>
      </c>
      <c r="C21" s="413"/>
      <c r="D21" s="413"/>
      <c r="E21" s="413"/>
      <c r="F21" s="413"/>
      <c r="G21" s="413"/>
      <c r="H21" s="413"/>
      <c r="I21" s="413"/>
      <c r="J21" s="423" t="s">
        <v>88</v>
      </c>
      <c r="K21" s="382"/>
      <c r="L21" s="114" t="str">
        <f>IF('[1]p20'!$I$171&lt;&gt;0,'[1]p20'!$I$171,"")</f>
        <v>Permanente</v>
      </c>
      <c r="M21" s="61" t="s">
        <v>233</v>
      </c>
      <c r="N21" s="379" t="str">
        <f>IF('[1]p20'!$K$171&lt;&gt;0,'[1]p20'!$K$171,"")</f>
        <v>Em andamento</v>
      </c>
      <c r="O21" s="379"/>
      <c r="P21" s="380"/>
      <c r="Q21" s="64"/>
    </row>
    <row r="22" spans="1:17" s="3" customFormat="1" ht="13.5" customHeight="1">
      <c r="A22" s="25" t="s">
        <v>86</v>
      </c>
      <c r="B22" s="443" t="str">
        <f>IF('[1]p20'!$H$173&lt;&gt;0,'[1]p20'!$H$173,"")</f>
        <v>Coordenador</v>
      </c>
      <c r="C22" s="444"/>
      <c r="D22" s="447" t="s">
        <v>88</v>
      </c>
      <c r="E22" s="448"/>
      <c r="F22" s="443" t="str">
        <f>IF('[1]p20'!$I$171&lt;&gt;0,'[1]p20'!$I$171,"")</f>
        <v>Permanente</v>
      </c>
      <c r="G22" s="443"/>
      <c r="H22" s="444"/>
      <c r="I22" s="25" t="s">
        <v>73</v>
      </c>
      <c r="J22" s="115">
        <f>IF('[1]p20'!$J$163&lt;&gt;0,'[1]p20'!$J$163,"")</f>
      </c>
      <c r="K22" s="25" t="s">
        <v>74</v>
      </c>
      <c r="L22" s="115">
        <f>IF('[1]p20'!$K$163&lt;&gt;0,'[1]p20'!$K$163,"")</f>
      </c>
      <c r="M22" s="447" t="s">
        <v>90</v>
      </c>
      <c r="N22" s="448"/>
      <c r="O22" s="441" t="str">
        <f>IF('[1]p20'!$F$173&lt;&gt;0,'[1]p20'!$F$173,"")</f>
        <v>Ativ. Ext. 0040001</v>
      </c>
      <c r="P22" s="442"/>
      <c r="Q22" s="64"/>
    </row>
    <row r="23" spans="1:17" s="3" customFormat="1" ht="13.5" customHeight="1">
      <c r="A23" s="25" t="s">
        <v>241</v>
      </c>
      <c r="B23" s="443" t="str">
        <f>IF('[1]p20'!$A$173&lt;&gt;0,'[1]p20'!$A$173,"")</f>
        <v>Ensino</v>
      </c>
      <c r="C23" s="443"/>
      <c r="D23" s="443"/>
      <c r="E23" s="443"/>
      <c r="F23" s="443"/>
      <c r="G23" s="443"/>
      <c r="H23" s="443"/>
      <c r="I23" s="443"/>
      <c r="J23" s="444"/>
      <c r="K23" s="445" t="s">
        <v>89</v>
      </c>
      <c r="L23" s="446"/>
      <c r="M23" s="379" t="str">
        <f>IF('[1]p20'!$I$175&lt;&gt;0,'[1]p20'!$I$175,"")</f>
        <v>UFCG</v>
      </c>
      <c r="N23" s="379"/>
      <c r="O23" s="379"/>
      <c r="P23" s="380"/>
      <c r="Q23" s="47"/>
    </row>
    <row r="24" spans="1:17" s="3" customFormat="1" ht="13.5" customHeight="1">
      <c r="A24" s="25" t="s">
        <v>87</v>
      </c>
      <c r="B24" s="379" t="str">
        <f>IF('[1]p20'!$E$175&lt;&gt;0,'[1]p20'!$E$175,"")</f>
        <v>Alunos e professores das redes pública e privada de ensinos fundamental e médio de CG e região</v>
      </c>
      <c r="C24" s="379"/>
      <c r="D24" s="379"/>
      <c r="E24" s="379"/>
      <c r="F24" s="379"/>
      <c r="G24" s="379"/>
      <c r="H24" s="379"/>
      <c r="I24" s="382" t="s">
        <v>242</v>
      </c>
      <c r="J24" s="379"/>
      <c r="K24" s="379"/>
      <c r="L24" s="111">
        <f>IF('[1]p20'!$K$175&lt;&gt;0,'[1]p20'!$K$175,"")</f>
        <v>2500</v>
      </c>
      <c r="M24" s="382" t="s">
        <v>234</v>
      </c>
      <c r="N24" s="381"/>
      <c r="O24" s="379" t="str">
        <f>IF('[1]p20'!$D$173&lt;&gt;0,'[1]p20'!$D$173,"")</f>
        <v>UFCG</v>
      </c>
      <c r="P24" s="380"/>
      <c r="Q24" s="47"/>
    </row>
    <row r="25" spans="1:18" ht="12.75">
      <c r="A25" s="382" t="s">
        <v>236</v>
      </c>
      <c r="B25" s="381"/>
      <c r="C25" s="116">
        <f>'[1]p20'!$A$177</f>
        <v>6000</v>
      </c>
      <c r="D25" s="423" t="s">
        <v>240</v>
      </c>
      <c r="E25" s="423"/>
      <c r="F25" s="423"/>
      <c r="G25" s="382"/>
      <c r="H25" s="449">
        <f>'[1]p20'!$D$177</f>
        <v>6000</v>
      </c>
      <c r="I25" s="450"/>
      <c r="J25" s="382" t="s">
        <v>238</v>
      </c>
      <c r="K25" s="381"/>
      <c r="L25" s="449">
        <f>'[1]p20'!$G$177</f>
        <v>6000</v>
      </c>
      <c r="M25" s="450"/>
      <c r="N25" s="112" t="s">
        <v>239</v>
      </c>
      <c r="O25" s="449">
        <f>'[1]p20'!$J$177</f>
        <v>0</v>
      </c>
      <c r="P25" s="450"/>
      <c r="Q25" s="47"/>
      <c r="R25" s="3"/>
    </row>
    <row r="26" spans="1:16" ht="12.75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</row>
    <row r="27" spans="1:17" s="3" customFormat="1" ht="13.5" customHeight="1">
      <c r="A27" s="25" t="s">
        <v>75</v>
      </c>
      <c r="B27" s="380" t="str">
        <f>IF('[1]p20'!$A$180&lt;&gt;0,'[1]p20'!$A$180,"")</f>
        <v>Olimpíada Brasileira de Matemática das Escolas Públicas</v>
      </c>
      <c r="C27" s="413"/>
      <c r="D27" s="413"/>
      <c r="E27" s="413"/>
      <c r="F27" s="413"/>
      <c r="G27" s="413"/>
      <c r="H27" s="413"/>
      <c r="I27" s="413"/>
      <c r="J27" s="423" t="s">
        <v>88</v>
      </c>
      <c r="K27" s="382"/>
      <c r="L27" s="114" t="str">
        <f>IF('[1]p20'!$I$180&lt;&gt;0,'[1]p20'!$I$180,"")</f>
        <v>Permanente</v>
      </c>
      <c r="M27" s="61" t="s">
        <v>233</v>
      </c>
      <c r="N27" s="379" t="str">
        <f>IF('[1]p20'!$K$180&lt;&gt;0,'[1]p20'!$K$180,"")</f>
        <v>Em andamento</v>
      </c>
      <c r="O27" s="379"/>
      <c r="P27" s="380"/>
      <c r="Q27" s="64"/>
    </row>
    <row r="28" spans="1:17" s="3" customFormat="1" ht="13.5" customHeight="1">
      <c r="A28" s="25" t="s">
        <v>86</v>
      </c>
      <c r="B28" s="443" t="str">
        <f>IF('[1]p20'!$H$182&lt;&gt;0,'[1]p20'!$H$182,"")</f>
        <v>Coordenador</v>
      </c>
      <c r="C28" s="444"/>
      <c r="D28" s="447" t="s">
        <v>88</v>
      </c>
      <c r="E28" s="448"/>
      <c r="F28" s="443" t="str">
        <f>IF('[1]p20'!$I$180&lt;&gt;0,'[1]p20'!$I$180,"")</f>
        <v>Permanente</v>
      </c>
      <c r="G28" s="443"/>
      <c r="H28" s="444"/>
      <c r="I28" s="25" t="s">
        <v>73</v>
      </c>
      <c r="J28" s="115">
        <f>IF('[1]p20'!$J$163&lt;&gt;0,'[1]p20'!$J$163,"")</f>
      </c>
      <c r="K28" s="25" t="s">
        <v>74</v>
      </c>
      <c r="L28" s="115">
        <f>IF('[1]p20'!$K$163&lt;&gt;0,'[1]p20'!$K$163,"")</f>
      </c>
      <c r="M28" s="447" t="s">
        <v>90</v>
      </c>
      <c r="N28" s="448"/>
      <c r="O28" s="441">
        <f>IF('[1]p20'!$F$182&lt;&gt;0,'[1]p20'!$F$182,"")</f>
      </c>
      <c r="P28" s="442"/>
      <c r="Q28" s="64"/>
    </row>
    <row r="29" spans="1:17" s="3" customFormat="1" ht="13.5" customHeight="1">
      <c r="A29" s="25" t="s">
        <v>241</v>
      </c>
      <c r="B29" s="443" t="str">
        <f>IF('[1]p20'!$A$182&lt;&gt;0,'[1]p20'!$A$182,"")</f>
        <v>Ensino</v>
      </c>
      <c r="C29" s="443"/>
      <c r="D29" s="443"/>
      <c r="E29" s="443"/>
      <c r="F29" s="443"/>
      <c r="G29" s="443"/>
      <c r="H29" s="443"/>
      <c r="I29" s="443"/>
      <c r="J29" s="444"/>
      <c r="K29" s="445" t="s">
        <v>89</v>
      </c>
      <c r="L29" s="446"/>
      <c r="M29" s="379" t="str">
        <f>IF('[1]p20'!$I$184&lt;&gt;0,'[1]p20'!$I$184,"")</f>
        <v>UFCG</v>
      </c>
      <c r="N29" s="379"/>
      <c r="O29" s="379"/>
      <c r="P29" s="380"/>
      <c r="Q29" s="47"/>
    </row>
    <row r="30" spans="1:17" s="3" customFormat="1" ht="13.5" customHeight="1">
      <c r="A30" s="25" t="s">
        <v>87</v>
      </c>
      <c r="B30" s="379" t="str">
        <f>IF('[1]p20'!$E$184&lt;&gt;0,'[1]p20'!$E$184,"")</f>
        <v>Alunos e profs. da rede pública de ensino fundamental e médio da Paraíba</v>
      </c>
      <c r="C30" s="379"/>
      <c r="D30" s="379"/>
      <c r="E30" s="379"/>
      <c r="F30" s="379"/>
      <c r="G30" s="379"/>
      <c r="H30" s="379"/>
      <c r="I30" s="382" t="s">
        <v>242</v>
      </c>
      <c r="J30" s="379"/>
      <c r="K30" s="379"/>
      <c r="L30" s="111">
        <f>IF('[1]p20'!$K$184&lt;&gt;0,'[1]p20'!$K$184,"")</f>
        <v>375000</v>
      </c>
      <c r="M30" s="382" t="s">
        <v>234</v>
      </c>
      <c r="N30" s="381"/>
      <c r="O30" s="379">
        <f>IF('[1]p20'!$D$182&lt;&gt;0,'[1]p20'!$D$182,"")</f>
      </c>
      <c r="P30" s="380"/>
      <c r="Q30" s="47"/>
    </row>
    <row r="31" spans="1:18" ht="12.75">
      <c r="A31" s="382" t="s">
        <v>236</v>
      </c>
      <c r="B31" s="381"/>
      <c r="C31" s="116">
        <f>'[1]p20'!$A$186</f>
        <v>20000</v>
      </c>
      <c r="D31" s="423" t="s">
        <v>240</v>
      </c>
      <c r="E31" s="423"/>
      <c r="F31" s="423"/>
      <c r="G31" s="382"/>
      <c r="H31" s="449">
        <f>'[1]p20'!$D$186</f>
        <v>8000</v>
      </c>
      <c r="I31" s="450"/>
      <c r="J31" s="382" t="s">
        <v>238</v>
      </c>
      <c r="K31" s="381"/>
      <c r="L31" s="449">
        <f>'[1]p20'!$G$186</f>
        <v>8000</v>
      </c>
      <c r="M31" s="450"/>
      <c r="N31" s="112" t="s">
        <v>239</v>
      </c>
      <c r="O31" s="449">
        <f>'[1]p20'!$J$186</f>
        <v>12000</v>
      </c>
      <c r="P31" s="450"/>
      <c r="Q31" s="47"/>
      <c r="R31" s="3"/>
    </row>
    <row r="32" spans="1:16" ht="12.7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</row>
    <row r="33" spans="1:19" s="46" customFormat="1" ht="11.25" customHeight="1">
      <c r="A33" s="382" t="str">
        <f>T('[1]p22'!$C$13:$G$13)</f>
        <v>José Lindomberg Possiano Barreiro</v>
      </c>
      <c r="B33" s="381"/>
      <c r="C33" s="381"/>
      <c r="D33" s="381"/>
      <c r="E33" s="384"/>
      <c r="F33" s="439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64"/>
      <c r="R33" s="39"/>
      <c r="S33" s="39"/>
    </row>
    <row r="34" spans="1:17" s="3" customFormat="1" ht="13.5" customHeight="1">
      <c r="A34" s="25" t="s">
        <v>75</v>
      </c>
      <c r="B34" s="380" t="str">
        <f>IF('[1]p22'!$A$171&lt;&gt;0,'[1]p22'!$A$171,"")</f>
        <v>Curso de Aperfeiçoamento para professores de matemática do ensino médio</v>
      </c>
      <c r="C34" s="413"/>
      <c r="D34" s="413"/>
      <c r="E34" s="413"/>
      <c r="F34" s="413"/>
      <c r="G34" s="413"/>
      <c r="H34" s="413"/>
      <c r="I34" s="413"/>
      <c r="J34" s="423" t="s">
        <v>88</v>
      </c>
      <c r="K34" s="382"/>
      <c r="L34" s="114" t="str">
        <f>IF('[1]p22'!$I$171&lt;&gt;0,'[1]p22'!$I$171,"")</f>
        <v>Eventual</v>
      </c>
      <c r="M34" s="61" t="s">
        <v>233</v>
      </c>
      <c r="N34" s="379" t="str">
        <f>IF('[1]p22'!$K$171&lt;&gt;0,'[1]p22'!$K$171,"")</f>
        <v>Concluído</v>
      </c>
      <c r="O34" s="379"/>
      <c r="P34" s="380"/>
      <c r="Q34" s="64"/>
    </row>
    <row r="35" spans="1:17" s="3" customFormat="1" ht="13.5" customHeight="1">
      <c r="A35" s="25" t="s">
        <v>86</v>
      </c>
      <c r="B35" s="443">
        <f>IF('[1]p22'!$H$173&lt;&gt;0,'[1]p22'!$H$173,"")</f>
      </c>
      <c r="C35" s="444"/>
      <c r="D35" s="447" t="s">
        <v>88</v>
      </c>
      <c r="E35" s="448"/>
      <c r="F35" s="443" t="str">
        <f>IF('[1]p22'!$I$171&lt;&gt;0,'[1]p22'!$I$171,"")</f>
        <v>Eventual</v>
      </c>
      <c r="G35" s="443"/>
      <c r="H35" s="444"/>
      <c r="I35" s="25" t="s">
        <v>73</v>
      </c>
      <c r="J35" s="115">
        <f>IF('[1]p22'!$J$163&lt;&gt;0,'[1]p22'!$J$163,"")</f>
      </c>
      <c r="K35" s="25" t="s">
        <v>74</v>
      </c>
      <c r="L35" s="115">
        <f>IF('[1]p22'!$K$163&lt;&gt;0,'[1]p22'!$K$163,"")</f>
      </c>
      <c r="M35" s="447" t="s">
        <v>90</v>
      </c>
      <c r="N35" s="448"/>
      <c r="O35" s="441">
        <f>IF('[1]p22'!$F$173&lt;&gt;0,'[1]p22'!$F$173,"")</f>
      </c>
      <c r="P35" s="442"/>
      <c r="Q35" s="64"/>
    </row>
    <row r="36" spans="1:17" s="3" customFormat="1" ht="13.5" customHeight="1">
      <c r="A36" s="25" t="s">
        <v>241</v>
      </c>
      <c r="B36" s="443" t="str">
        <f>IF('[1]p22'!$A$173&lt;&gt;0,'[1]p22'!$A$173,"")</f>
        <v>Ensino</v>
      </c>
      <c r="C36" s="443"/>
      <c r="D36" s="443"/>
      <c r="E36" s="443"/>
      <c r="F36" s="443"/>
      <c r="G36" s="443"/>
      <c r="H36" s="443"/>
      <c r="I36" s="443"/>
      <c r="J36" s="444"/>
      <c r="K36" s="445" t="s">
        <v>89</v>
      </c>
      <c r="L36" s="446"/>
      <c r="M36" s="379">
        <f>IF('[1]p22'!$I$175&lt;&gt;0,'[1]p22'!$I$175,"")</f>
      </c>
      <c r="N36" s="379"/>
      <c r="O36" s="379"/>
      <c r="P36" s="380"/>
      <c r="Q36" s="47"/>
    </row>
    <row r="37" spans="1:17" s="3" customFormat="1" ht="13.5" customHeight="1">
      <c r="A37" s="25" t="s">
        <v>87</v>
      </c>
      <c r="B37" s="379">
        <f>IF('[1]p22'!$E$175&lt;&gt;0,'[1]p22'!$E$175,"")</f>
      </c>
      <c r="C37" s="379"/>
      <c r="D37" s="379"/>
      <c r="E37" s="379"/>
      <c r="F37" s="379"/>
      <c r="G37" s="379"/>
      <c r="H37" s="379"/>
      <c r="I37" s="382" t="s">
        <v>242</v>
      </c>
      <c r="J37" s="379"/>
      <c r="K37" s="379"/>
      <c r="L37" s="111">
        <f>IF('[1]p22'!$K$175&lt;&gt;0,'[1]p22'!$K$175,"")</f>
      </c>
      <c r="M37" s="382" t="s">
        <v>234</v>
      </c>
      <c r="N37" s="381"/>
      <c r="O37" s="379" t="str">
        <f>IF('[1]p22'!$D$173&lt;&gt;0,'[1]p22'!$D$173,"")</f>
        <v>FINEP</v>
      </c>
      <c r="P37" s="380"/>
      <c r="Q37" s="47"/>
    </row>
    <row r="38" spans="1:18" ht="12.75">
      <c r="A38" s="382" t="s">
        <v>236</v>
      </c>
      <c r="B38" s="381"/>
      <c r="C38" s="116">
        <f>'[1]p22'!$A$177</f>
        <v>0</v>
      </c>
      <c r="D38" s="423" t="s">
        <v>240</v>
      </c>
      <c r="E38" s="423"/>
      <c r="F38" s="423"/>
      <c r="G38" s="382"/>
      <c r="H38" s="449">
        <f>'[1]p22'!$D$177</f>
        <v>0</v>
      </c>
      <c r="I38" s="450"/>
      <c r="J38" s="382" t="s">
        <v>238</v>
      </c>
      <c r="K38" s="381"/>
      <c r="L38" s="449">
        <f>'[1]p22'!$G$177</f>
        <v>0</v>
      </c>
      <c r="M38" s="450"/>
      <c r="N38" s="112" t="s">
        <v>239</v>
      </c>
      <c r="O38" s="449">
        <f>'[1]p22'!$J$177</f>
        <v>0</v>
      </c>
      <c r="P38" s="450"/>
      <c r="Q38" s="47"/>
      <c r="R38" s="3"/>
    </row>
    <row r="39" spans="1:16" ht="12.7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</row>
    <row r="40" spans="1:19" s="46" customFormat="1" ht="11.25" customHeight="1">
      <c r="A40" s="382" t="str">
        <f>T('[1]p24'!$C$13:$G$13)</f>
        <v>Luiz Mendes Albuquerque Neto</v>
      </c>
      <c r="B40" s="381"/>
      <c r="C40" s="381"/>
      <c r="D40" s="381"/>
      <c r="E40" s="384"/>
      <c r="F40" s="439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64"/>
      <c r="R40" s="39"/>
      <c r="S40" s="39"/>
    </row>
    <row r="41" spans="1:17" s="3" customFormat="1" ht="13.5" customHeight="1">
      <c r="A41" s="25" t="s">
        <v>75</v>
      </c>
      <c r="B41" s="380" t="str">
        <f>IF('[1]p24'!$A$171&lt;&gt;0,'[1]p24'!$A$171,"")</f>
        <v>Olimpíada Campinense de Matemática</v>
      </c>
      <c r="C41" s="413"/>
      <c r="D41" s="413"/>
      <c r="E41" s="413"/>
      <c r="F41" s="413"/>
      <c r="G41" s="413"/>
      <c r="H41" s="413"/>
      <c r="I41" s="413"/>
      <c r="J41" s="423" t="s">
        <v>88</v>
      </c>
      <c r="K41" s="382"/>
      <c r="L41" s="114" t="str">
        <f>IF('[1]p24'!$I$171&lt;&gt;0,'[1]p24'!$I$171,"")</f>
        <v>Permanente</v>
      </c>
      <c r="M41" s="61" t="s">
        <v>233</v>
      </c>
      <c r="N41" s="379" t="str">
        <f>IF('[1]p24'!$K$171&lt;&gt;0,'[1]p24'!$K$171,"")</f>
        <v>Em andamento</v>
      </c>
      <c r="O41" s="379"/>
      <c r="P41" s="380"/>
      <c r="Q41" s="64"/>
    </row>
    <row r="42" spans="1:17" s="3" customFormat="1" ht="13.5" customHeight="1">
      <c r="A42" s="25" t="s">
        <v>86</v>
      </c>
      <c r="B42" s="443" t="str">
        <f>IF('[1]p24'!$H$173&lt;&gt;0,'[1]p24'!$H$173,"")</f>
        <v>Colaborador </v>
      </c>
      <c r="C42" s="444"/>
      <c r="D42" s="447" t="s">
        <v>88</v>
      </c>
      <c r="E42" s="448"/>
      <c r="F42" s="443" t="str">
        <f>IF('[1]p24'!$I$171&lt;&gt;0,'[1]p24'!$I$171,"")</f>
        <v>Permanente</v>
      </c>
      <c r="G42" s="443"/>
      <c r="H42" s="444"/>
      <c r="I42" s="25" t="s">
        <v>73</v>
      </c>
      <c r="J42" s="115">
        <f>IF('[1]p24'!$J$163&lt;&gt;0,'[1]p24'!$J$163,"")</f>
      </c>
      <c r="K42" s="25" t="s">
        <v>74</v>
      </c>
      <c r="L42" s="115">
        <f>IF('[1]p24'!$K$163&lt;&gt;0,'[1]p24'!$K$163,"")</f>
      </c>
      <c r="M42" s="447" t="s">
        <v>90</v>
      </c>
      <c r="N42" s="448"/>
      <c r="O42" s="441" t="str">
        <f>IF('[1]p24'!$F$173&lt;&gt;0,'[1]p24'!$F$173,"")</f>
        <v>Ativ.Ext. 0040001</v>
      </c>
      <c r="P42" s="442"/>
      <c r="Q42" s="64"/>
    </row>
    <row r="43" spans="1:17" s="3" customFormat="1" ht="13.5" customHeight="1">
      <c r="A43" s="25" t="s">
        <v>241</v>
      </c>
      <c r="B43" s="443" t="str">
        <f>IF('[1]p24'!$A$173&lt;&gt;0,'[1]p24'!$A$173,"")</f>
        <v>Ensino</v>
      </c>
      <c r="C43" s="443"/>
      <c r="D43" s="443"/>
      <c r="E43" s="443"/>
      <c r="F43" s="443"/>
      <c r="G43" s="443"/>
      <c r="H43" s="443"/>
      <c r="I43" s="443"/>
      <c r="J43" s="444"/>
      <c r="K43" s="445" t="s">
        <v>89</v>
      </c>
      <c r="L43" s="446"/>
      <c r="M43" s="379" t="str">
        <f>IF('[1]p24'!$I$175&lt;&gt;0,'[1]p24'!$I$175,"")</f>
        <v>UFCG</v>
      </c>
      <c r="N43" s="379"/>
      <c r="O43" s="379"/>
      <c r="P43" s="380"/>
      <c r="Q43" s="47"/>
    </row>
    <row r="44" spans="1:17" s="3" customFormat="1" ht="13.5" customHeight="1">
      <c r="A44" s="25" t="s">
        <v>87</v>
      </c>
      <c r="B44" s="379" t="str">
        <f>IF('[1]p24'!$E$175&lt;&gt;0,'[1]p24'!$E$175,"")</f>
        <v>Alunos e Professores das redes pública e privada de ensino fundamental e m´dio de CG e região</v>
      </c>
      <c r="C44" s="379"/>
      <c r="D44" s="379"/>
      <c r="E44" s="379"/>
      <c r="F44" s="379"/>
      <c r="G44" s="379"/>
      <c r="H44" s="379"/>
      <c r="I44" s="382" t="s">
        <v>242</v>
      </c>
      <c r="J44" s="379"/>
      <c r="K44" s="379"/>
      <c r="L44" s="111">
        <f>IF('[1]p24'!$K$175&lt;&gt;0,'[1]p24'!$K$175,"")</f>
        <v>2500</v>
      </c>
      <c r="M44" s="382" t="s">
        <v>234</v>
      </c>
      <c r="N44" s="381"/>
      <c r="O44" s="379" t="str">
        <f>IF('[1]p24'!$D$173&lt;&gt;0,'[1]p24'!$D$173,"")</f>
        <v>UFCG</v>
      </c>
      <c r="P44" s="380"/>
      <c r="Q44" s="47"/>
    </row>
    <row r="45" spans="1:18" ht="12.75">
      <c r="A45" s="382" t="s">
        <v>236</v>
      </c>
      <c r="B45" s="381"/>
      <c r="C45" s="116">
        <f>'[1]p24'!$A$177</f>
        <v>0</v>
      </c>
      <c r="D45" s="423" t="s">
        <v>240</v>
      </c>
      <c r="E45" s="423"/>
      <c r="F45" s="423"/>
      <c r="G45" s="382"/>
      <c r="H45" s="449">
        <f>'[1]p24'!$D$177</f>
        <v>0</v>
      </c>
      <c r="I45" s="450"/>
      <c r="J45" s="382" t="s">
        <v>238</v>
      </c>
      <c r="K45" s="381"/>
      <c r="L45" s="449">
        <f>'[1]p24'!$G$177</f>
        <v>0</v>
      </c>
      <c r="M45" s="450"/>
      <c r="N45" s="112" t="s">
        <v>239</v>
      </c>
      <c r="O45" s="449">
        <f>'[1]p24'!$J$177</f>
        <v>0</v>
      </c>
      <c r="P45" s="450"/>
      <c r="Q45" s="47"/>
      <c r="R45" s="3"/>
    </row>
    <row r="46" spans="1:16" ht="12.75">
      <c r="A46" s="426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</row>
    <row r="47" spans="1:19" s="46" customFormat="1" ht="11.25" customHeight="1">
      <c r="A47" s="382" t="str">
        <f>T('[1]p29'!$C$13:$G$13)</f>
        <v>Miriam Costa</v>
      </c>
      <c r="B47" s="381"/>
      <c r="C47" s="381"/>
      <c r="D47" s="381"/>
      <c r="E47" s="384"/>
      <c r="F47" s="439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64"/>
      <c r="R47" s="39"/>
      <c r="S47" s="39"/>
    </row>
    <row r="48" spans="1:17" s="3" customFormat="1" ht="13.5" customHeight="1">
      <c r="A48" s="25" t="s">
        <v>75</v>
      </c>
      <c r="B48" s="380" t="str">
        <f>IF('[1]p29'!$A$171&lt;&gt;0,'[1]p29'!$A$171,"")</f>
        <v>Olimpíada Campinense de Matemática</v>
      </c>
      <c r="C48" s="413"/>
      <c r="D48" s="413"/>
      <c r="E48" s="413"/>
      <c r="F48" s="413"/>
      <c r="G48" s="413"/>
      <c r="H48" s="413"/>
      <c r="I48" s="413"/>
      <c r="J48" s="423" t="s">
        <v>88</v>
      </c>
      <c r="K48" s="382"/>
      <c r="L48" s="114" t="str">
        <f>IF('[1]p29'!$I$171&lt;&gt;0,'[1]p29'!$I$171,"")</f>
        <v>Permanente</v>
      </c>
      <c r="M48" s="61" t="s">
        <v>233</v>
      </c>
      <c r="N48" s="379" t="str">
        <f>IF('[1]p29'!$K$171&lt;&gt;0,'[1]p29'!$K$171,"")</f>
        <v>Em andamento</v>
      </c>
      <c r="O48" s="379"/>
      <c r="P48" s="380"/>
      <c r="Q48" s="64"/>
    </row>
    <row r="49" spans="1:17" s="3" customFormat="1" ht="13.5" customHeight="1">
      <c r="A49" s="25" t="s">
        <v>86</v>
      </c>
      <c r="B49" s="443" t="str">
        <f>IF('[1]p29'!$H$173&lt;&gt;0,'[1]p29'!$H$173,"")</f>
        <v>Colaborador </v>
      </c>
      <c r="C49" s="444"/>
      <c r="D49" s="447" t="s">
        <v>88</v>
      </c>
      <c r="E49" s="448"/>
      <c r="F49" s="443" t="str">
        <f>IF('[1]p29'!$I$171&lt;&gt;0,'[1]p29'!$I$171,"")</f>
        <v>Permanente</v>
      </c>
      <c r="G49" s="443"/>
      <c r="H49" s="444"/>
      <c r="I49" s="25" t="s">
        <v>73</v>
      </c>
      <c r="J49" s="115">
        <f>IF('[1]p29'!$J$163&lt;&gt;0,'[1]p29'!$J$163,"")</f>
      </c>
      <c r="K49" s="25" t="s">
        <v>74</v>
      </c>
      <c r="L49" s="115">
        <f>IF('[1]p29'!$K$163&lt;&gt;0,'[1]p29'!$K$163,"")</f>
      </c>
      <c r="M49" s="447" t="s">
        <v>90</v>
      </c>
      <c r="N49" s="448"/>
      <c r="O49" s="441" t="str">
        <f>IF('[1]p29'!$F$173&lt;&gt;0,'[1]p29'!$F$173,"")</f>
        <v>AT. EXT.0040001</v>
      </c>
      <c r="P49" s="442"/>
      <c r="Q49" s="64"/>
    </row>
    <row r="50" spans="1:17" s="3" customFormat="1" ht="13.5" customHeight="1">
      <c r="A50" s="25" t="s">
        <v>241</v>
      </c>
      <c r="B50" s="443" t="str">
        <f>IF('[1]p29'!$A$173&lt;&gt;0,'[1]p29'!$A$173,"")</f>
        <v>Ensino</v>
      </c>
      <c r="C50" s="443"/>
      <c r="D50" s="443"/>
      <c r="E50" s="443"/>
      <c r="F50" s="443"/>
      <c r="G50" s="443"/>
      <c r="H50" s="443"/>
      <c r="I50" s="443"/>
      <c r="J50" s="444"/>
      <c r="K50" s="445" t="s">
        <v>89</v>
      </c>
      <c r="L50" s="446"/>
      <c r="M50" s="379" t="str">
        <f>IF('[1]p29'!$I$175&lt;&gt;0,'[1]p29'!$I$175,"")</f>
        <v>UFCG</v>
      </c>
      <c r="N50" s="379"/>
      <c r="O50" s="379"/>
      <c r="P50" s="380"/>
      <c r="Q50" s="47"/>
    </row>
    <row r="51" spans="1:17" s="3" customFormat="1" ht="13.5" customHeight="1">
      <c r="A51" s="25" t="s">
        <v>87</v>
      </c>
      <c r="B51" s="379" t="str">
        <f>IF('[1]p29'!$E$175&lt;&gt;0,'[1]p29'!$E$175,"")</f>
        <v>Alunos e professores das redes pública e privada de ensinos fundamental e médio de CG e região</v>
      </c>
      <c r="C51" s="379"/>
      <c r="D51" s="379"/>
      <c r="E51" s="379"/>
      <c r="F51" s="379"/>
      <c r="G51" s="379"/>
      <c r="H51" s="379"/>
      <c r="I51" s="382" t="s">
        <v>242</v>
      </c>
      <c r="J51" s="379"/>
      <c r="K51" s="379"/>
      <c r="L51" s="111">
        <f>IF('[1]p29'!$K$175&lt;&gt;0,'[1]p29'!$K$175,"")</f>
        <v>2500</v>
      </c>
      <c r="M51" s="382" t="s">
        <v>234</v>
      </c>
      <c r="N51" s="381"/>
      <c r="O51" s="379" t="str">
        <f>IF('[1]p29'!$D$173&lt;&gt;0,'[1]p29'!$D$173,"")</f>
        <v>UFCG</v>
      </c>
      <c r="P51" s="380"/>
      <c r="Q51" s="47"/>
    </row>
    <row r="52" spans="1:18" ht="12.75">
      <c r="A52" s="382" t="s">
        <v>236</v>
      </c>
      <c r="B52" s="381"/>
      <c r="C52" s="116">
        <f>'[1]p29'!$A$177</f>
        <v>0</v>
      </c>
      <c r="D52" s="423" t="s">
        <v>240</v>
      </c>
      <c r="E52" s="423"/>
      <c r="F52" s="423"/>
      <c r="G52" s="382"/>
      <c r="H52" s="449">
        <f>'[1]p29'!$D$177</f>
        <v>0</v>
      </c>
      <c r="I52" s="450"/>
      <c r="J52" s="382" t="s">
        <v>238</v>
      </c>
      <c r="K52" s="381"/>
      <c r="L52" s="449">
        <f>'[1]p29'!$G$177</f>
        <v>0</v>
      </c>
      <c r="M52" s="450"/>
      <c r="N52" s="112" t="s">
        <v>239</v>
      </c>
      <c r="O52" s="449">
        <f>'[1]p29'!$J$177</f>
        <v>0</v>
      </c>
      <c r="P52" s="450"/>
      <c r="Q52" s="47"/>
      <c r="R52" s="3"/>
    </row>
    <row r="53" spans="1:16" ht="12.75">
      <c r="A53" s="426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</row>
    <row r="54" spans="1:19" s="46" customFormat="1" ht="11.25" customHeight="1">
      <c r="A54" s="382" t="str">
        <f>T('[1]p34'!$C$13:$G$13)</f>
        <v>Vandik Estevam Barbosa</v>
      </c>
      <c r="B54" s="381"/>
      <c r="C54" s="381"/>
      <c r="D54" s="381"/>
      <c r="E54" s="384"/>
      <c r="F54" s="439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64"/>
      <c r="R54" s="39"/>
      <c r="S54" s="39"/>
    </row>
    <row r="55" spans="1:17" s="3" customFormat="1" ht="13.5" customHeight="1">
      <c r="A55" s="25" t="s">
        <v>75</v>
      </c>
      <c r="B55" s="380" t="str">
        <f>IF('[1]p34'!$A$171&lt;&gt;0,'[1]p34'!$A$171,"")</f>
        <v>Olimpíada Campinense de Matemática</v>
      </c>
      <c r="C55" s="413"/>
      <c r="D55" s="413"/>
      <c r="E55" s="413"/>
      <c r="F55" s="413"/>
      <c r="G55" s="413"/>
      <c r="H55" s="413"/>
      <c r="I55" s="413"/>
      <c r="J55" s="423" t="s">
        <v>88</v>
      </c>
      <c r="K55" s="382"/>
      <c r="L55" s="114" t="str">
        <f>IF('[1]p34'!$I$171&lt;&gt;0,'[1]p34'!$I$171,"")</f>
        <v>Permanente</v>
      </c>
      <c r="M55" s="61" t="s">
        <v>233</v>
      </c>
      <c r="N55" s="379" t="str">
        <f>IF('[1]p34'!$K$171&lt;&gt;0,'[1]p34'!$K$171,"")</f>
        <v>Em andamento</v>
      </c>
      <c r="O55" s="379"/>
      <c r="P55" s="380"/>
      <c r="Q55" s="64"/>
    </row>
    <row r="56" spans="1:17" s="3" customFormat="1" ht="13.5" customHeight="1">
      <c r="A56" s="25" t="s">
        <v>86</v>
      </c>
      <c r="B56" s="443" t="str">
        <f>IF('[1]p34'!$H$173&lt;&gt;0,'[1]p34'!$H$173,"")</f>
        <v>Colaborador </v>
      </c>
      <c r="C56" s="444"/>
      <c r="D56" s="447" t="s">
        <v>88</v>
      </c>
      <c r="E56" s="448"/>
      <c r="F56" s="443" t="str">
        <f>IF('[1]p34'!$I$171&lt;&gt;0,'[1]p34'!$I$171,"")</f>
        <v>Permanente</v>
      </c>
      <c r="G56" s="443"/>
      <c r="H56" s="444"/>
      <c r="I56" s="25" t="s">
        <v>73</v>
      </c>
      <c r="J56" s="115">
        <f>IF('[1]p34'!$J$163&lt;&gt;0,'[1]p34'!$J$163,"")</f>
      </c>
      <c r="K56" s="25" t="s">
        <v>74</v>
      </c>
      <c r="L56" s="115">
        <f>IF('[1]p34'!$K$163&lt;&gt;0,'[1]p34'!$K$163,"")</f>
      </c>
      <c r="M56" s="447" t="s">
        <v>90</v>
      </c>
      <c r="N56" s="448"/>
      <c r="O56" s="441" t="str">
        <f>IF('[1]p34'!$F$173&lt;&gt;0,'[1]p34'!$F$173,"")</f>
        <v>ATIV. EXT. 40001</v>
      </c>
      <c r="P56" s="442"/>
      <c r="Q56" s="64"/>
    </row>
    <row r="57" spans="1:17" s="3" customFormat="1" ht="13.5" customHeight="1">
      <c r="A57" s="25" t="s">
        <v>241</v>
      </c>
      <c r="B57" s="443" t="str">
        <f>IF('[1]p34'!$A$173&lt;&gt;0,'[1]p34'!$A$173,"")</f>
        <v>Ensino</v>
      </c>
      <c r="C57" s="443"/>
      <c r="D57" s="443"/>
      <c r="E57" s="443"/>
      <c r="F57" s="443"/>
      <c r="G57" s="443"/>
      <c r="H57" s="443"/>
      <c r="I57" s="443"/>
      <c r="J57" s="444"/>
      <c r="K57" s="445" t="s">
        <v>89</v>
      </c>
      <c r="L57" s="446"/>
      <c r="M57" s="379" t="str">
        <f>IF('[1]p34'!$I$175&lt;&gt;0,'[1]p34'!$I$175,"")</f>
        <v>UFCG</v>
      </c>
      <c r="N57" s="379"/>
      <c r="O57" s="379"/>
      <c r="P57" s="380"/>
      <c r="Q57" s="47"/>
    </row>
    <row r="58" spans="1:17" s="3" customFormat="1" ht="13.5" customHeight="1">
      <c r="A58" s="25" t="s">
        <v>87</v>
      </c>
      <c r="B58" s="379" t="str">
        <f>IF('[1]p34'!$E$175&lt;&gt;0,'[1]p34'!$E$175,"")</f>
        <v>Alunos e professores das redes pública e privada de ensinos fundamental e médio de CG e região</v>
      </c>
      <c r="C58" s="379"/>
      <c r="D58" s="379"/>
      <c r="E58" s="379"/>
      <c r="F58" s="379"/>
      <c r="G58" s="379"/>
      <c r="H58" s="379"/>
      <c r="I58" s="382" t="s">
        <v>242</v>
      </c>
      <c r="J58" s="379"/>
      <c r="K58" s="379"/>
      <c r="L58" s="111">
        <f>IF('[1]p34'!$K$175&lt;&gt;0,'[1]p34'!$K$175,"")</f>
        <v>2500</v>
      </c>
      <c r="M58" s="382" t="s">
        <v>234</v>
      </c>
      <c r="N58" s="381"/>
      <c r="O58" s="379" t="str">
        <f>IF('[1]p34'!$D$173&lt;&gt;0,'[1]p34'!$D$173,"")</f>
        <v>UFCG</v>
      </c>
      <c r="P58" s="380"/>
      <c r="Q58" s="47"/>
    </row>
    <row r="59" spans="1:18" ht="12.75">
      <c r="A59" s="382" t="s">
        <v>236</v>
      </c>
      <c r="B59" s="381"/>
      <c r="C59" s="116">
        <f>'[1]p34'!$A$177</f>
        <v>0</v>
      </c>
      <c r="D59" s="423" t="s">
        <v>240</v>
      </c>
      <c r="E59" s="423"/>
      <c r="F59" s="423"/>
      <c r="G59" s="382"/>
      <c r="H59" s="449">
        <f>'[1]p34'!$D$177</f>
        <v>0</v>
      </c>
      <c r="I59" s="450"/>
      <c r="J59" s="382" t="s">
        <v>238</v>
      </c>
      <c r="K59" s="381"/>
      <c r="L59" s="449">
        <f>'[1]p34'!$G$177</f>
        <v>0</v>
      </c>
      <c r="M59" s="450"/>
      <c r="N59" s="112" t="s">
        <v>239</v>
      </c>
      <c r="O59" s="449">
        <f>'[1]p34'!$J$177</f>
        <v>0</v>
      </c>
      <c r="P59" s="450"/>
      <c r="Q59" s="47"/>
      <c r="R59" s="3"/>
    </row>
    <row r="60" spans="1:16" ht="12.75">
      <c r="A60" s="426"/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</row>
    <row r="61" spans="1:17" s="3" customFormat="1" ht="13.5" customHeight="1">
      <c r="A61" s="25" t="s">
        <v>75</v>
      </c>
      <c r="B61" s="380" t="str">
        <f>IF('[1]p34'!$A$180&lt;&gt;0,'[1]p34'!$A$180,"")</f>
        <v>Olimpíada Brasileira de Matemática das Escolas Públicas</v>
      </c>
      <c r="C61" s="413"/>
      <c r="D61" s="413"/>
      <c r="E61" s="413"/>
      <c r="F61" s="413"/>
      <c r="G61" s="413"/>
      <c r="H61" s="413"/>
      <c r="I61" s="413"/>
      <c r="J61" s="423" t="s">
        <v>88</v>
      </c>
      <c r="K61" s="382"/>
      <c r="L61" s="114" t="str">
        <f>IF('[1]p34'!$I$180&lt;&gt;0,'[1]p34'!$I$180,"")</f>
        <v>Permanente</v>
      </c>
      <c r="M61" s="61" t="s">
        <v>233</v>
      </c>
      <c r="N61" s="379" t="str">
        <f>IF('[1]p34'!$K$180&lt;&gt;0,'[1]p34'!$K$180,"")</f>
        <v>Em andamento</v>
      </c>
      <c r="O61" s="379"/>
      <c r="P61" s="380"/>
      <c r="Q61" s="64"/>
    </row>
    <row r="62" spans="1:17" s="3" customFormat="1" ht="13.5" customHeight="1">
      <c r="A62" s="25" t="s">
        <v>86</v>
      </c>
      <c r="B62" s="443" t="str">
        <f>IF('[1]p34'!$H$182&lt;&gt;0,'[1]p34'!$H$182,"")</f>
        <v>Colaborador </v>
      </c>
      <c r="C62" s="444"/>
      <c r="D62" s="447" t="s">
        <v>88</v>
      </c>
      <c r="E62" s="448"/>
      <c r="F62" s="443" t="str">
        <f>IF('[1]p34'!$I$180&lt;&gt;0,'[1]p34'!$I$180,"")</f>
        <v>Permanente</v>
      </c>
      <c r="G62" s="443"/>
      <c r="H62" s="444"/>
      <c r="I62" s="25" t="s">
        <v>73</v>
      </c>
      <c r="J62" s="115">
        <f>IF('[1]p34'!$J$163&lt;&gt;0,'[1]p34'!$J$163,"")</f>
      </c>
      <c r="K62" s="25" t="s">
        <v>74</v>
      </c>
      <c r="L62" s="115">
        <f>IF('[1]p34'!$K$163&lt;&gt;0,'[1]p34'!$K$163,"")</f>
      </c>
      <c r="M62" s="447" t="s">
        <v>90</v>
      </c>
      <c r="N62" s="448"/>
      <c r="O62" s="441">
        <f>IF('[1]p34'!$F$182&lt;&gt;0,'[1]p34'!$F$182,"")</f>
      </c>
      <c r="P62" s="442"/>
      <c r="Q62" s="64"/>
    </row>
    <row r="63" spans="1:17" s="3" customFormat="1" ht="13.5" customHeight="1">
      <c r="A63" s="25" t="s">
        <v>241</v>
      </c>
      <c r="B63" s="443" t="str">
        <f>IF('[1]p34'!$A$182&lt;&gt;0,'[1]p34'!$A$182,"")</f>
        <v>Ensino</v>
      </c>
      <c r="C63" s="443"/>
      <c r="D63" s="443"/>
      <c r="E63" s="443"/>
      <c r="F63" s="443"/>
      <c r="G63" s="443"/>
      <c r="H63" s="443"/>
      <c r="I63" s="443"/>
      <c r="J63" s="444"/>
      <c r="K63" s="445" t="s">
        <v>89</v>
      </c>
      <c r="L63" s="446"/>
      <c r="M63" s="379" t="str">
        <f>IF('[1]p34'!$I$184&lt;&gt;0,'[1]p34'!$I$184,"")</f>
        <v>Escolas públicas do estado e UFCG</v>
      </c>
      <c r="N63" s="379"/>
      <c r="O63" s="379"/>
      <c r="P63" s="380"/>
      <c r="Q63" s="47"/>
    </row>
    <row r="64" spans="1:17" s="3" customFormat="1" ht="13.5" customHeight="1">
      <c r="A64" s="25" t="s">
        <v>87</v>
      </c>
      <c r="B64" s="379" t="str">
        <f>IF('[1]p34'!$E$184&lt;&gt;0,'[1]p34'!$E$184,"")</f>
        <v>Alunos dos ensino fundamental e médio das escolas públicas do estado da Paraíba</v>
      </c>
      <c r="C64" s="379"/>
      <c r="D64" s="379"/>
      <c r="E64" s="379"/>
      <c r="F64" s="379"/>
      <c r="G64" s="379"/>
      <c r="H64" s="379"/>
      <c r="I64" s="382" t="s">
        <v>242</v>
      </c>
      <c r="J64" s="379"/>
      <c r="K64" s="379"/>
      <c r="L64" s="111">
        <f>IF('[1]p34'!$K$184&lt;&gt;0,'[1]p34'!$K$184,"")</f>
      </c>
      <c r="M64" s="382" t="s">
        <v>234</v>
      </c>
      <c r="N64" s="381"/>
      <c r="O64" s="379">
        <f>IF('[1]p34'!$D$182&lt;&gt;0,'[1]p34'!$D$182,"")</f>
      </c>
      <c r="P64" s="380"/>
      <c r="Q64" s="47"/>
    </row>
    <row r="65" spans="1:18" ht="12.75">
      <c r="A65" s="382" t="s">
        <v>236</v>
      </c>
      <c r="B65" s="381"/>
      <c r="C65" s="116">
        <f>'[1]p34'!$A$186</f>
        <v>0</v>
      </c>
      <c r="D65" s="423" t="s">
        <v>240</v>
      </c>
      <c r="E65" s="423"/>
      <c r="F65" s="423"/>
      <c r="G65" s="382"/>
      <c r="H65" s="449">
        <f>'[1]p34'!$D$186</f>
        <v>0</v>
      </c>
      <c r="I65" s="450"/>
      <c r="J65" s="382" t="s">
        <v>238</v>
      </c>
      <c r="K65" s="381"/>
      <c r="L65" s="449">
        <f>'[1]p34'!$G$186</f>
        <v>0</v>
      </c>
      <c r="M65" s="450"/>
      <c r="N65" s="112" t="s">
        <v>239</v>
      </c>
      <c r="O65" s="449">
        <f>'[1]p34'!$J$186</f>
        <v>0</v>
      </c>
      <c r="P65" s="450"/>
      <c r="Q65" s="47"/>
      <c r="R65" s="3"/>
    </row>
    <row r="66" spans="1:16" ht="12.75">
      <c r="A66" s="426"/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</row>
    <row r="67" spans="1:19" s="46" customFormat="1" ht="11.25" customHeight="1">
      <c r="A67" s="382" t="str">
        <f>T('[1]p44'!$C$13:$G$13)</f>
        <v>José Vieira Alves</v>
      </c>
      <c r="B67" s="381"/>
      <c r="C67" s="381"/>
      <c r="D67" s="381"/>
      <c r="E67" s="384"/>
      <c r="F67" s="439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64"/>
      <c r="R67" s="39"/>
      <c r="S67" s="39"/>
    </row>
    <row r="68" spans="1:17" s="3" customFormat="1" ht="13.5" customHeight="1">
      <c r="A68" s="25" t="s">
        <v>75</v>
      </c>
      <c r="B68" s="380" t="str">
        <f>IF('[1]p44'!$A$171&lt;&gt;0,'[1]p44'!$A$171,"")</f>
        <v>Olimpíada Campinense de Matemática</v>
      </c>
      <c r="C68" s="413"/>
      <c r="D68" s="413"/>
      <c r="E68" s="413"/>
      <c r="F68" s="413"/>
      <c r="G68" s="413"/>
      <c r="H68" s="413"/>
      <c r="I68" s="413"/>
      <c r="J68" s="423" t="s">
        <v>88</v>
      </c>
      <c r="K68" s="382"/>
      <c r="L68" s="114" t="str">
        <f>IF('[1]p44'!$I$171&lt;&gt;0,'[1]p44'!$I$171,"")</f>
        <v>Permanente</v>
      </c>
      <c r="M68" s="61" t="s">
        <v>233</v>
      </c>
      <c r="N68" s="379" t="str">
        <f>IF('[1]p44'!$K$171&lt;&gt;0,'[1]p44'!$K$171,"")</f>
        <v>Em andamento</v>
      </c>
      <c r="O68" s="379"/>
      <c r="P68" s="380"/>
      <c r="Q68" s="64"/>
    </row>
    <row r="69" spans="1:17" s="3" customFormat="1" ht="13.5" customHeight="1">
      <c r="A69" s="25" t="s">
        <v>86</v>
      </c>
      <c r="B69" s="443" t="str">
        <f>IF('[1]p44'!$H$173&lt;&gt;0,'[1]p44'!$H$173,"")</f>
        <v>Colaborador </v>
      </c>
      <c r="C69" s="444"/>
      <c r="D69" s="447" t="s">
        <v>88</v>
      </c>
      <c r="E69" s="448"/>
      <c r="F69" s="443" t="str">
        <f>IF('[1]p44'!$I$171&lt;&gt;0,'[1]p44'!$I$171,"")</f>
        <v>Permanente</v>
      </c>
      <c r="G69" s="443"/>
      <c r="H69" s="444"/>
      <c r="I69" s="25" t="s">
        <v>73</v>
      </c>
      <c r="J69" s="115">
        <f>IF('[1]p44'!$J$163&lt;&gt;0,'[1]p44'!$J$163,"")</f>
      </c>
      <c r="K69" s="25" t="s">
        <v>74</v>
      </c>
      <c r="L69" s="115">
        <f>IF('[1]p44'!$K$163&lt;&gt;0,'[1]p44'!$K$163,"")</f>
      </c>
      <c r="M69" s="447" t="s">
        <v>90</v>
      </c>
      <c r="N69" s="448"/>
      <c r="O69" s="441" t="str">
        <f>IF('[1]p44'!$F$173&lt;&gt;0,'[1]p44'!$F$173,"")</f>
        <v>Ativ. Ext. 0040001</v>
      </c>
      <c r="P69" s="442"/>
      <c r="Q69" s="64"/>
    </row>
    <row r="70" spans="1:17" s="3" customFormat="1" ht="13.5" customHeight="1">
      <c r="A70" s="25" t="s">
        <v>241</v>
      </c>
      <c r="B70" s="443" t="str">
        <f>IF('[1]p44'!$A$173&lt;&gt;0,'[1]p44'!$A$173,"")</f>
        <v>Ensino</v>
      </c>
      <c r="C70" s="443"/>
      <c r="D70" s="443"/>
      <c r="E70" s="443"/>
      <c r="F70" s="443"/>
      <c r="G70" s="443"/>
      <c r="H70" s="443"/>
      <c r="I70" s="443"/>
      <c r="J70" s="444"/>
      <c r="K70" s="445" t="s">
        <v>89</v>
      </c>
      <c r="L70" s="446"/>
      <c r="M70" s="379" t="str">
        <f>IF('[1]p44'!$I$175&lt;&gt;0,'[1]p44'!$I$175,"")</f>
        <v>UFCG</v>
      </c>
      <c r="N70" s="379"/>
      <c r="O70" s="379"/>
      <c r="P70" s="380"/>
      <c r="Q70" s="47"/>
    </row>
    <row r="71" spans="1:17" s="3" customFormat="1" ht="13.5" customHeight="1">
      <c r="A71" s="25" t="s">
        <v>87</v>
      </c>
      <c r="B71" s="379" t="str">
        <f>IF('[1]p44'!$E$175&lt;&gt;0,'[1]p44'!$E$175,"")</f>
        <v>Alunos e professores das redes pública e privada de ensinos fundamental e médio de CG e região</v>
      </c>
      <c r="C71" s="379"/>
      <c r="D71" s="379"/>
      <c r="E71" s="379"/>
      <c r="F71" s="379"/>
      <c r="G71" s="379"/>
      <c r="H71" s="379"/>
      <c r="I71" s="382" t="s">
        <v>242</v>
      </c>
      <c r="J71" s="379"/>
      <c r="K71" s="379"/>
      <c r="L71" s="111">
        <f>IF('[1]p44'!$K$175&lt;&gt;0,'[1]p44'!$K$175,"")</f>
        <v>2500</v>
      </c>
      <c r="M71" s="382" t="s">
        <v>234</v>
      </c>
      <c r="N71" s="381"/>
      <c r="O71" s="379" t="str">
        <f>IF('[1]p44'!$D$173&lt;&gt;0,'[1]p44'!$D$173,"")</f>
        <v>UFCG</v>
      </c>
      <c r="P71" s="380"/>
      <c r="Q71" s="47"/>
    </row>
    <row r="72" spans="1:18" ht="12.75">
      <c r="A72" s="382" t="s">
        <v>236</v>
      </c>
      <c r="B72" s="381"/>
      <c r="C72" s="116">
        <f>'[1]p44'!$A$177</f>
        <v>0</v>
      </c>
      <c r="D72" s="423" t="s">
        <v>240</v>
      </c>
      <c r="E72" s="423"/>
      <c r="F72" s="423"/>
      <c r="G72" s="382"/>
      <c r="H72" s="449">
        <f>'[1]p44'!$D$177</f>
        <v>0</v>
      </c>
      <c r="I72" s="450"/>
      <c r="J72" s="382" t="s">
        <v>238</v>
      </c>
      <c r="K72" s="381"/>
      <c r="L72" s="449">
        <f>'[1]p44'!$G$177</f>
        <v>0</v>
      </c>
      <c r="M72" s="450"/>
      <c r="N72" s="112" t="s">
        <v>239</v>
      </c>
      <c r="O72" s="449">
        <f>'[1]p44'!$J$177</f>
        <v>0</v>
      </c>
      <c r="P72" s="450"/>
      <c r="Q72" s="47"/>
      <c r="R72" s="3"/>
    </row>
    <row r="73" spans="1:16" ht="12.75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</row>
    <row r="74" spans="1:17" s="3" customFormat="1" ht="13.5" customHeight="1">
      <c r="A74" s="25" t="s">
        <v>75</v>
      </c>
      <c r="B74" s="380" t="str">
        <f>IF('[1]p44'!$A$180&lt;&gt;0,'[1]p44'!$A$180,"")</f>
        <v>Olimpíadas Brasileiras de Matemática (OBM)</v>
      </c>
      <c r="C74" s="413"/>
      <c r="D74" s="413"/>
      <c r="E74" s="413"/>
      <c r="F74" s="413"/>
      <c r="G74" s="413"/>
      <c r="H74" s="413"/>
      <c r="I74" s="413"/>
      <c r="J74" s="423" t="s">
        <v>88</v>
      </c>
      <c r="K74" s="382"/>
      <c r="L74" s="114" t="str">
        <f>IF('[1]p44'!$I$180&lt;&gt;0,'[1]p44'!$I$180,"")</f>
        <v>Permanente</v>
      </c>
      <c r="M74" s="61" t="s">
        <v>233</v>
      </c>
      <c r="N74" s="379" t="str">
        <f>IF('[1]p44'!$K$180&lt;&gt;0,'[1]p44'!$K$180,"")</f>
        <v>Em andamento</v>
      </c>
      <c r="O74" s="379"/>
      <c r="P74" s="380"/>
      <c r="Q74" s="64"/>
    </row>
    <row r="75" spans="1:17" s="3" customFormat="1" ht="13.5" customHeight="1">
      <c r="A75" s="25" t="s">
        <v>86</v>
      </c>
      <c r="B75" s="443" t="str">
        <f>IF('[1]p44'!$H$182&lt;&gt;0,'[1]p44'!$H$182,"")</f>
        <v>Coordenador</v>
      </c>
      <c r="C75" s="444"/>
      <c r="D75" s="447" t="s">
        <v>88</v>
      </c>
      <c r="E75" s="448"/>
      <c r="F75" s="443" t="str">
        <f>IF('[1]p44'!$I$180&lt;&gt;0,'[1]p44'!$I$180,"")</f>
        <v>Permanente</v>
      </c>
      <c r="G75" s="443"/>
      <c r="H75" s="444"/>
      <c r="I75" s="25" t="s">
        <v>73</v>
      </c>
      <c r="J75" s="115">
        <f>IF('[1]p44'!$J$163&lt;&gt;0,'[1]p44'!$J$163,"")</f>
      </c>
      <c r="K75" s="25" t="s">
        <v>74</v>
      </c>
      <c r="L75" s="115">
        <f>IF('[1]p44'!$K$163&lt;&gt;0,'[1]p44'!$K$163,"")</f>
      </c>
      <c r="M75" s="447" t="s">
        <v>90</v>
      </c>
      <c r="N75" s="448"/>
      <c r="O75" s="441">
        <f>IF('[1]p44'!$F$182&lt;&gt;0,'[1]p44'!$F$182,"")</f>
      </c>
      <c r="P75" s="442"/>
      <c r="Q75" s="64"/>
    </row>
    <row r="76" spans="1:17" s="3" customFormat="1" ht="13.5" customHeight="1">
      <c r="A76" s="25" t="s">
        <v>241</v>
      </c>
      <c r="B76" s="443" t="str">
        <f>IF('[1]p44'!$A$182&lt;&gt;0,'[1]p44'!$A$182,"")</f>
        <v>Apoio à Comunidade</v>
      </c>
      <c r="C76" s="443"/>
      <c r="D76" s="443"/>
      <c r="E76" s="443"/>
      <c r="F76" s="443"/>
      <c r="G76" s="443"/>
      <c r="H76" s="443"/>
      <c r="I76" s="443"/>
      <c r="J76" s="444"/>
      <c r="K76" s="445" t="s">
        <v>89</v>
      </c>
      <c r="L76" s="446"/>
      <c r="M76" s="379" t="str">
        <f>IF('[1]p44'!$I$184&lt;&gt;0,'[1]p44'!$I$184,"")</f>
        <v>UFCG</v>
      </c>
      <c r="N76" s="379"/>
      <c r="O76" s="379"/>
      <c r="P76" s="380"/>
      <c r="Q76" s="47"/>
    </row>
    <row r="77" spans="1:17" s="3" customFormat="1" ht="13.5" customHeight="1">
      <c r="A77" s="25" t="s">
        <v>87</v>
      </c>
      <c r="B77" s="379" t="str">
        <f>IF('[1]p44'!$E$184&lt;&gt;0,'[1]p44'!$E$184,"")</f>
        <v>Alunos dos ensinos fundamental e médio</v>
      </c>
      <c r="C77" s="379"/>
      <c r="D77" s="379"/>
      <c r="E77" s="379"/>
      <c r="F77" s="379"/>
      <c r="G77" s="379"/>
      <c r="H77" s="379"/>
      <c r="I77" s="382" t="s">
        <v>242</v>
      </c>
      <c r="J77" s="379"/>
      <c r="K77" s="379"/>
      <c r="L77" s="111">
        <f>IF('[1]p44'!$K$184&lt;&gt;0,'[1]p44'!$K$184,"")</f>
        <v>1000</v>
      </c>
      <c r="M77" s="382" t="s">
        <v>234</v>
      </c>
      <c r="N77" s="381"/>
      <c r="O77" s="379">
        <f>IF('[1]p44'!$D$182&lt;&gt;0,'[1]p44'!$D$182,"")</f>
      </c>
      <c r="P77" s="380"/>
      <c r="Q77" s="47"/>
    </row>
    <row r="78" spans="1:18" ht="12.75">
      <c r="A78" s="382" t="s">
        <v>236</v>
      </c>
      <c r="B78" s="381"/>
      <c r="C78" s="116">
        <f>'[1]p44'!$A$186</f>
        <v>0</v>
      </c>
      <c r="D78" s="423" t="s">
        <v>240</v>
      </c>
      <c r="E78" s="423"/>
      <c r="F78" s="423"/>
      <c r="G78" s="382"/>
      <c r="H78" s="449">
        <f>'[1]p44'!$D$186</f>
        <v>0</v>
      </c>
      <c r="I78" s="450"/>
      <c r="J78" s="382" t="s">
        <v>238</v>
      </c>
      <c r="K78" s="381"/>
      <c r="L78" s="449">
        <f>'[1]p44'!$G$186</f>
        <v>0</v>
      </c>
      <c r="M78" s="450"/>
      <c r="N78" s="112" t="s">
        <v>239</v>
      </c>
      <c r="O78" s="449">
        <f>'[1]p44'!$J$186</f>
        <v>0</v>
      </c>
      <c r="P78" s="450"/>
      <c r="Q78" s="47"/>
      <c r="R78" s="3"/>
    </row>
  </sheetData>
  <sheetProtection password="CEFE" sheet="1" objects="1" scenarios="1"/>
  <mergeCells count="264">
    <mergeCell ref="L78:M78"/>
    <mergeCell ref="O78:P78"/>
    <mergeCell ref="A78:B78"/>
    <mergeCell ref="D78:G78"/>
    <mergeCell ref="H78:I78"/>
    <mergeCell ref="J78:K78"/>
    <mergeCell ref="B77:H77"/>
    <mergeCell ref="I77:K77"/>
    <mergeCell ref="M77:N77"/>
    <mergeCell ref="O77:P77"/>
    <mergeCell ref="O75:P75"/>
    <mergeCell ref="B76:J76"/>
    <mergeCell ref="K76:L76"/>
    <mergeCell ref="M76:P76"/>
    <mergeCell ref="B75:C75"/>
    <mergeCell ref="D75:E75"/>
    <mergeCell ref="F75:H75"/>
    <mergeCell ref="M75:N75"/>
    <mergeCell ref="L72:M72"/>
    <mergeCell ref="O72:P72"/>
    <mergeCell ref="A73:P73"/>
    <mergeCell ref="B74:I74"/>
    <mergeCell ref="J74:K74"/>
    <mergeCell ref="N74:P74"/>
    <mergeCell ref="A72:B72"/>
    <mergeCell ref="D72:G72"/>
    <mergeCell ref="H72:I72"/>
    <mergeCell ref="J72:K72"/>
    <mergeCell ref="B70:J70"/>
    <mergeCell ref="K70:L70"/>
    <mergeCell ref="M70:P70"/>
    <mergeCell ref="B71:H71"/>
    <mergeCell ref="I71:K71"/>
    <mergeCell ref="M71:N71"/>
    <mergeCell ref="O71:P71"/>
    <mergeCell ref="B68:I68"/>
    <mergeCell ref="J68:K68"/>
    <mergeCell ref="N68:P68"/>
    <mergeCell ref="B69:C69"/>
    <mergeCell ref="D69:E69"/>
    <mergeCell ref="F69:H69"/>
    <mergeCell ref="M69:N69"/>
    <mergeCell ref="O69:P69"/>
    <mergeCell ref="A66:P66"/>
    <mergeCell ref="A67:E67"/>
    <mergeCell ref="F67:P67"/>
    <mergeCell ref="L65:M65"/>
    <mergeCell ref="O65:P65"/>
    <mergeCell ref="A65:B65"/>
    <mergeCell ref="D65:G65"/>
    <mergeCell ref="H65:I65"/>
    <mergeCell ref="J65:K65"/>
    <mergeCell ref="B64:H64"/>
    <mergeCell ref="I64:K64"/>
    <mergeCell ref="M64:N64"/>
    <mergeCell ref="O64:P64"/>
    <mergeCell ref="O62:P62"/>
    <mergeCell ref="B63:J63"/>
    <mergeCell ref="K63:L63"/>
    <mergeCell ref="M63:P63"/>
    <mergeCell ref="B62:C62"/>
    <mergeCell ref="D62:E62"/>
    <mergeCell ref="F62:H62"/>
    <mergeCell ref="M62:N62"/>
    <mergeCell ref="L59:M59"/>
    <mergeCell ref="O59:P59"/>
    <mergeCell ref="A60:P60"/>
    <mergeCell ref="B61:I61"/>
    <mergeCell ref="J61:K61"/>
    <mergeCell ref="N61:P61"/>
    <mergeCell ref="A59:B59"/>
    <mergeCell ref="D59:G59"/>
    <mergeCell ref="H59:I59"/>
    <mergeCell ref="J59:K59"/>
    <mergeCell ref="B57:J57"/>
    <mergeCell ref="K57:L57"/>
    <mergeCell ref="M57:P57"/>
    <mergeCell ref="B58:H58"/>
    <mergeCell ref="I58:K58"/>
    <mergeCell ref="M58:N58"/>
    <mergeCell ref="O58:P58"/>
    <mergeCell ref="B55:I55"/>
    <mergeCell ref="J55:K55"/>
    <mergeCell ref="N55:P55"/>
    <mergeCell ref="B56:C56"/>
    <mergeCell ref="D56:E56"/>
    <mergeCell ref="F56:H56"/>
    <mergeCell ref="M56:N56"/>
    <mergeCell ref="O56:P56"/>
    <mergeCell ref="A53:P53"/>
    <mergeCell ref="A54:E54"/>
    <mergeCell ref="F54:P54"/>
    <mergeCell ref="L52:M52"/>
    <mergeCell ref="O52:P52"/>
    <mergeCell ref="A52:B52"/>
    <mergeCell ref="D52:G52"/>
    <mergeCell ref="H52:I52"/>
    <mergeCell ref="J52:K52"/>
    <mergeCell ref="B50:J50"/>
    <mergeCell ref="K50:L50"/>
    <mergeCell ref="M50:P50"/>
    <mergeCell ref="B51:H51"/>
    <mergeCell ref="I51:K51"/>
    <mergeCell ref="M51:N51"/>
    <mergeCell ref="O51:P51"/>
    <mergeCell ref="B48:I48"/>
    <mergeCell ref="J48:K48"/>
    <mergeCell ref="N48:P48"/>
    <mergeCell ref="B49:C49"/>
    <mergeCell ref="D49:E49"/>
    <mergeCell ref="F49:H49"/>
    <mergeCell ref="M49:N49"/>
    <mergeCell ref="O49:P49"/>
    <mergeCell ref="A46:P46"/>
    <mergeCell ref="A47:E47"/>
    <mergeCell ref="F47:P47"/>
    <mergeCell ref="L45:M45"/>
    <mergeCell ref="O45:P45"/>
    <mergeCell ref="A45:B45"/>
    <mergeCell ref="D45:G45"/>
    <mergeCell ref="H45:I45"/>
    <mergeCell ref="J45:K45"/>
    <mergeCell ref="B43:J43"/>
    <mergeCell ref="K43:L43"/>
    <mergeCell ref="M43:P43"/>
    <mergeCell ref="B44:H44"/>
    <mergeCell ref="I44:K44"/>
    <mergeCell ref="M44:N44"/>
    <mergeCell ref="O44:P44"/>
    <mergeCell ref="B41:I41"/>
    <mergeCell ref="J41:K41"/>
    <mergeCell ref="N41:P41"/>
    <mergeCell ref="B42:C42"/>
    <mergeCell ref="D42:E42"/>
    <mergeCell ref="F42:H42"/>
    <mergeCell ref="M42:N42"/>
    <mergeCell ref="O42:P42"/>
    <mergeCell ref="A39:P39"/>
    <mergeCell ref="A40:E40"/>
    <mergeCell ref="F40:P40"/>
    <mergeCell ref="L38:M38"/>
    <mergeCell ref="O38:P38"/>
    <mergeCell ref="A38:B38"/>
    <mergeCell ref="D38:G38"/>
    <mergeCell ref="H38:I38"/>
    <mergeCell ref="J38:K38"/>
    <mergeCell ref="B36:J36"/>
    <mergeCell ref="K36:L36"/>
    <mergeCell ref="M36:P36"/>
    <mergeCell ref="B37:H37"/>
    <mergeCell ref="I37:K37"/>
    <mergeCell ref="M37:N37"/>
    <mergeCell ref="O37:P37"/>
    <mergeCell ref="B34:I34"/>
    <mergeCell ref="J34:K34"/>
    <mergeCell ref="N34:P34"/>
    <mergeCell ref="B35:C35"/>
    <mergeCell ref="D35:E35"/>
    <mergeCell ref="F35:H35"/>
    <mergeCell ref="M35:N35"/>
    <mergeCell ref="O35:P35"/>
    <mergeCell ref="A32:P32"/>
    <mergeCell ref="A33:E33"/>
    <mergeCell ref="F33:P33"/>
    <mergeCell ref="L31:M31"/>
    <mergeCell ref="O31:P31"/>
    <mergeCell ref="A31:B31"/>
    <mergeCell ref="D31:G31"/>
    <mergeCell ref="H31:I31"/>
    <mergeCell ref="J31:K31"/>
    <mergeCell ref="B30:H30"/>
    <mergeCell ref="I30:K30"/>
    <mergeCell ref="M30:N30"/>
    <mergeCell ref="O30:P30"/>
    <mergeCell ref="O28:P28"/>
    <mergeCell ref="B29:J29"/>
    <mergeCell ref="K29:L29"/>
    <mergeCell ref="M29:P29"/>
    <mergeCell ref="B28:C28"/>
    <mergeCell ref="D28:E28"/>
    <mergeCell ref="F28:H28"/>
    <mergeCell ref="M28:N28"/>
    <mergeCell ref="L25:M25"/>
    <mergeCell ref="O25:P25"/>
    <mergeCell ref="A26:P26"/>
    <mergeCell ref="B27:I27"/>
    <mergeCell ref="J27:K27"/>
    <mergeCell ref="N27:P27"/>
    <mergeCell ref="A25:B25"/>
    <mergeCell ref="D25:G25"/>
    <mergeCell ref="H25:I25"/>
    <mergeCell ref="J25:K25"/>
    <mergeCell ref="B23:J23"/>
    <mergeCell ref="K23:L23"/>
    <mergeCell ref="M23:P23"/>
    <mergeCell ref="B24:H24"/>
    <mergeCell ref="I24:K24"/>
    <mergeCell ref="M24:N24"/>
    <mergeCell ref="O24:P24"/>
    <mergeCell ref="B21:I21"/>
    <mergeCell ref="J21:K21"/>
    <mergeCell ref="N21:P21"/>
    <mergeCell ref="B22:C22"/>
    <mergeCell ref="D22:E22"/>
    <mergeCell ref="F22:H22"/>
    <mergeCell ref="M22:N22"/>
    <mergeCell ref="O22:P22"/>
    <mergeCell ref="A19:P19"/>
    <mergeCell ref="A20:E20"/>
    <mergeCell ref="F20:P20"/>
    <mergeCell ref="L18:M18"/>
    <mergeCell ref="O18:P18"/>
    <mergeCell ref="A18:B18"/>
    <mergeCell ref="D18:G18"/>
    <mergeCell ref="H18:I18"/>
    <mergeCell ref="J18:K18"/>
    <mergeCell ref="B16:J16"/>
    <mergeCell ref="K16:L16"/>
    <mergeCell ref="M16:P16"/>
    <mergeCell ref="B17:H17"/>
    <mergeCell ref="I17:K17"/>
    <mergeCell ref="M17:N17"/>
    <mergeCell ref="O17:P17"/>
    <mergeCell ref="B14:I14"/>
    <mergeCell ref="J14:K14"/>
    <mergeCell ref="N14:P14"/>
    <mergeCell ref="B15:C15"/>
    <mergeCell ref="D15:E15"/>
    <mergeCell ref="F15:H15"/>
    <mergeCell ref="M15:N15"/>
    <mergeCell ref="O15:P15"/>
    <mergeCell ref="A12:P12"/>
    <mergeCell ref="A13:E13"/>
    <mergeCell ref="F13:P13"/>
    <mergeCell ref="L11:M11"/>
    <mergeCell ref="O11:P11"/>
    <mergeCell ref="A11:B11"/>
    <mergeCell ref="D11:G11"/>
    <mergeCell ref="H11:I11"/>
    <mergeCell ref="J11:K11"/>
    <mergeCell ref="B10:H10"/>
    <mergeCell ref="I10:K10"/>
    <mergeCell ref="M10:N10"/>
    <mergeCell ref="O10:P10"/>
    <mergeCell ref="O8:P8"/>
    <mergeCell ref="B9:J9"/>
    <mergeCell ref="K9:L9"/>
    <mergeCell ref="M9:P9"/>
    <mergeCell ref="B8:C8"/>
    <mergeCell ref="D8:E8"/>
    <mergeCell ref="F8:H8"/>
    <mergeCell ref="M8:N8"/>
    <mergeCell ref="B7:I7"/>
    <mergeCell ref="J7:K7"/>
    <mergeCell ref="N7:P7"/>
    <mergeCell ref="A6:E6"/>
    <mergeCell ref="F6:P6"/>
    <mergeCell ref="A3:D3"/>
    <mergeCell ref="A1:P1"/>
    <mergeCell ref="A4:P5"/>
    <mergeCell ref="A2:P2"/>
    <mergeCell ref="M3:N3"/>
    <mergeCell ref="O3:P3"/>
    <mergeCell ref="E3:L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2" max="255" man="1"/>
    <brk id="6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9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459"/>
      <c r="R1" s="459"/>
    </row>
    <row r="2" spans="1:18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59"/>
      <c r="R2" s="459"/>
    </row>
    <row r="3" spans="1:18" ht="13.5" thickBot="1">
      <c r="A3" s="393" t="s">
        <v>248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400"/>
      <c r="M3" s="396" t="s">
        <v>79</v>
      </c>
      <c r="N3" s="397"/>
      <c r="O3" s="394" t="str">
        <f>'[1]p1'!$H$4</f>
        <v>2008.1</v>
      </c>
      <c r="P3" s="395"/>
      <c r="Q3" s="459"/>
      <c r="R3" s="459"/>
    </row>
    <row r="4" spans="1:18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459"/>
      <c r="R4" s="459"/>
    </row>
    <row r="5" spans="1:18" s="38" customFormat="1" ht="11.2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459"/>
      <c r="R5" s="459"/>
    </row>
    <row r="6" spans="1:19" s="46" customFormat="1" ht="11.25" customHeight="1">
      <c r="A6" s="382" t="str">
        <f>T('[1]p7'!$C$13:$G$13)</f>
        <v>Antônio Pereira Brandão Júnior</v>
      </c>
      <c r="B6" s="381"/>
      <c r="C6" s="381"/>
      <c r="D6" s="381"/>
      <c r="E6" s="384"/>
      <c r="F6" s="439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59"/>
      <c r="R6" s="459"/>
      <c r="S6" s="39"/>
    </row>
    <row r="7" spans="1:18" s="3" customFormat="1" ht="13.5" customHeight="1">
      <c r="A7" s="25" t="s">
        <v>75</v>
      </c>
      <c r="B7" s="379" t="str">
        <f>IF('[1]p7'!$A$140&lt;&gt;0,'[1]p7'!$A$140,"")</f>
        <v>Polinômios Centrais para Álgebras Supercomutativas</v>
      </c>
      <c r="C7" s="379"/>
      <c r="D7" s="379"/>
      <c r="E7" s="379"/>
      <c r="F7" s="379"/>
      <c r="G7" s="379"/>
      <c r="H7" s="379"/>
      <c r="I7" s="380"/>
      <c r="J7" s="382" t="s">
        <v>234</v>
      </c>
      <c r="K7" s="381"/>
      <c r="L7" s="111">
        <f>IF('[1]p7'!$I$140&lt;&gt;0,'[1]p7'!$I$140,"")</f>
      </c>
      <c r="M7" s="61" t="s">
        <v>233</v>
      </c>
      <c r="N7" s="457" t="str">
        <f>IF('[1]p7'!$K$140&lt;&gt;0,'[1]p7'!$K$140,"")</f>
        <v>Desativado</v>
      </c>
      <c r="O7" s="457"/>
      <c r="P7" s="458"/>
      <c r="Q7" s="459"/>
      <c r="R7" s="459"/>
    </row>
    <row r="8" spans="1:18" s="3" customFormat="1" ht="13.5" customHeight="1">
      <c r="A8" s="25" t="s">
        <v>86</v>
      </c>
      <c r="B8" s="443" t="str">
        <f>IF('[1]p7'!$H$142&lt;&gt;0,'[1]p7'!$H$142,"")</f>
        <v>Coordenador</v>
      </c>
      <c r="C8" s="444"/>
      <c r="D8" s="451" t="s">
        <v>235</v>
      </c>
      <c r="E8" s="452"/>
      <c r="F8" s="453" t="str">
        <f>IF('[1]p7'!$A$142&lt;&gt;0,'[1]p7'!$A$142,"")</f>
        <v>Álgebras com Identidades Polinomiais</v>
      </c>
      <c r="G8" s="453"/>
      <c r="H8" s="453"/>
      <c r="I8" s="453"/>
      <c r="J8" s="454"/>
      <c r="K8" s="25" t="s">
        <v>73</v>
      </c>
      <c r="L8" s="455">
        <f>IF('[1]p7'!$J$142&lt;&gt;0,'[1]p7'!$J$142,"")</f>
        <v>39508</v>
      </c>
      <c r="M8" s="456"/>
      <c r="N8" s="25" t="s">
        <v>74</v>
      </c>
      <c r="O8" s="455">
        <f>IF('[1]p7'!$K$142&lt;&gt;0,'[1]p7'!$K$142,"")</f>
      </c>
      <c r="P8" s="456"/>
      <c r="Q8" s="459"/>
      <c r="R8" s="459"/>
    </row>
    <row r="9" spans="1:18" ht="12.75">
      <c r="A9" s="382" t="s">
        <v>236</v>
      </c>
      <c r="B9" s="381"/>
      <c r="C9" s="381"/>
      <c r="D9" s="449">
        <f>'[1]p7'!$A$144</f>
        <v>0</v>
      </c>
      <c r="E9" s="450"/>
      <c r="F9" s="382" t="s">
        <v>237</v>
      </c>
      <c r="G9" s="381"/>
      <c r="H9" s="449">
        <f>'[1]p7'!$D$144</f>
        <v>0</v>
      </c>
      <c r="I9" s="450"/>
      <c r="J9" s="382" t="s">
        <v>238</v>
      </c>
      <c r="K9" s="381"/>
      <c r="L9" s="449">
        <f>'[1]p7'!$G$144</f>
        <v>0</v>
      </c>
      <c r="M9" s="450"/>
      <c r="N9" s="112" t="s">
        <v>239</v>
      </c>
      <c r="O9" s="449">
        <f>'[1]p7'!$J$144</f>
        <v>0</v>
      </c>
      <c r="P9" s="450"/>
      <c r="Q9" s="459"/>
      <c r="R9" s="459"/>
    </row>
    <row r="10" spans="1:18" ht="12.75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459"/>
      <c r="R10" s="459"/>
    </row>
    <row r="11" spans="1:18" s="3" customFormat="1" ht="13.5" customHeight="1">
      <c r="A11" s="25" t="s">
        <v>75</v>
      </c>
      <c r="B11" s="379" t="str">
        <f>IF('[1]p7'!$A$147&lt;&gt;0,'[1]p7'!$A$147,"")</f>
        <v>Identidades e Polinômios Centrais Graduados para Matrizes Triangulares em Blocos</v>
      </c>
      <c r="C11" s="379"/>
      <c r="D11" s="379"/>
      <c r="E11" s="379"/>
      <c r="F11" s="379"/>
      <c r="G11" s="379"/>
      <c r="H11" s="379"/>
      <c r="I11" s="380"/>
      <c r="J11" s="382" t="s">
        <v>234</v>
      </c>
      <c r="K11" s="381"/>
      <c r="L11" s="111">
        <f>IF('[1]p7'!$I$147&lt;&gt;0,'[1]p7'!$I$147,"")</f>
      </c>
      <c r="M11" s="61" t="s">
        <v>233</v>
      </c>
      <c r="N11" s="457" t="str">
        <f>IF('[1]p7'!$K$147&lt;&gt;0,'[1]p7'!$K$147,"")</f>
        <v>Em andamento</v>
      </c>
      <c r="O11" s="457"/>
      <c r="P11" s="458"/>
      <c r="Q11" s="459"/>
      <c r="R11" s="459"/>
    </row>
    <row r="12" spans="1:18" s="3" customFormat="1" ht="13.5" customHeight="1">
      <c r="A12" s="25" t="s">
        <v>86</v>
      </c>
      <c r="B12" s="443" t="str">
        <f>IF('[1]p7'!$H$149&lt;&gt;0,'[1]p7'!$H$149,"")</f>
        <v>Participante</v>
      </c>
      <c r="C12" s="444"/>
      <c r="D12" s="451" t="s">
        <v>235</v>
      </c>
      <c r="E12" s="452"/>
      <c r="F12" s="453" t="str">
        <f>IF('[1]p7'!$A$149&lt;&gt;0,'[1]p7'!$A$149,"")</f>
        <v>Álgebras com Identidades Polinomiais</v>
      </c>
      <c r="G12" s="453"/>
      <c r="H12" s="453"/>
      <c r="I12" s="453"/>
      <c r="J12" s="454"/>
      <c r="K12" s="25" t="s">
        <v>73</v>
      </c>
      <c r="L12" s="455">
        <f>IF('[1]p7'!$J$149&lt;&gt;0,'[1]p7'!$J$149,"")</f>
        <v>39489</v>
      </c>
      <c r="M12" s="456"/>
      <c r="N12" s="25" t="s">
        <v>74</v>
      </c>
      <c r="O12" s="455">
        <f>IF('[1]p7'!$K$149&lt;&gt;0,'[1]p7'!$K$149,"")</f>
      </c>
      <c r="P12" s="456"/>
      <c r="Q12" s="459"/>
      <c r="R12" s="459"/>
    </row>
    <row r="13" spans="1:18" ht="12.75">
      <c r="A13" s="382" t="s">
        <v>236</v>
      </c>
      <c r="B13" s="381"/>
      <c r="C13" s="381"/>
      <c r="D13" s="449">
        <f>'[1]p7'!$A$151</f>
        <v>0</v>
      </c>
      <c r="E13" s="450"/>
      <c r="F13" s="382" t="s">
        <v>240</v>
      </c>
      <c r="G13" s="381"/>
      <c r="H13" s="449">
        <f>'[1]p7'!$D$151</f>
        <v>0</v>
      </c>
      <c r="I13" s="450"/>
      <c r="J13" s="382" t="s">
        <v>238</v>
      </c>
      <c r="K13" s="381"/>
      <c r="L13" s="449">
        <f>'[1]p7'!$G$151</f>
        <v>0</v>
      </c>
      <c r="M13" s="450"/>
      <c r="N13" s="112" t="s">
        <v>239</v>
      </c>
      <c r="O13" s="449">
        <f>'[1]p7'!$J$151</f>
        <v>0</v>
      </c>
      <c r="P13" s="450"/>
      <c r="Q13" s="459"/>
      <c r="R13" s="459"/>
    </row>
    <row r="14" spans="1:18" ht="12.7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459"/>
      <c r="R14" s="459"/>
    </row>
    <row r="15" spans="1:19" s="46" customFormat="1" ht="11.25" customHeight="1">
      <c r="A15" s="382" t="str">
        <f>T('[1]p8'!$C$13:$G$13)</f>
        <v>Aparecido Jesuino de Souza</v>
      </c>
      <c r="B15" s="381"/>
      <c r="C15" s="381"/>
      <c r="D15" s="381"/>
      <c r="E15" s="384"/>
      <c r="F15" s="439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59"/>
      <c r="R15" s="459"/>
      <c r="S15" s="39"/>
    </row>
    <row r="16" spans="1:18" s="3" customFormat="1" ht="13.5" customHeight="1">
      <c r="A16" s="25" t="s">
        <v>75</v>
      </c>
      <c r="B16" s="379" t="str">
        <f>IF('[1]p8'!$A$140&lt;&gt;0,'[1]p8'!$A$140,"")</f>
        <v>Equações Dif.  Aplicadas e Álgebra com Identidades Polinomiais (Casadinho, Proc.620025/2006-9)</v>
      </c>
      <c r="C16" s="379"/>
      <c r="D16" s="379"/>
      <c r="E16" s="379"/>
      <c r="F16" s="379"/>
      <c r="G16" s="379"/>
      <c r="H16" s="379"/>
      <c r="I16" s="380"/>
      <c r="J16" s="382" t="s">
        <v>234</v>
      </c>
      <c r="K16" s="381"/>
      <c r="L16" s="111" t="str">
        <f>IF('[1]p8'!$I$140&lt;&gt;0,'[1]p8'!$I$140,"")</f>
        <v>CNPq</v>
      </c>
      <c r="M16" s="61" t="s">
        <v>233</v>
      </c>
      <c r="N16" s="457" t="str">
        <f>IF('[1]p8'!$K$140&lt;&gt;0,'[1]p8'!$K$140,"")</f>
        <v>Em andamento</v>
      </c>
      <c r="O16" s="457"/>
      <c r="P16" s="458"/>
      <c r="Q16" s="459"/>
      <c r="R16" s="459"/>
    </row>
    <row r="17" spans="1:18" s="3" customFormat="1" ht="13.5" customHeight="1">
      <c r="A17" s="25" t="s">
        <v>86</v>
      </c>
      <c r="B17" s="443" t="str">
        <f>IF('[1]p8'!$H$142&lt;&gt;0,'[1]p8'!$H$142,"")</f>
        <v>Participante</v>
      </c>
      <c r="C17" s="444"/>
      <c r="D17" s="451" t="s">
        <v>235</v>
      </c>
      <c r="E17" s="452"/>
      <c r="F17" s="453" t="str">
        <f>IF('[1]p8'!$A$142&lt;&gt;0,'[1]p8'!$A$142,"")</f>
        <v>Matemática</v>
      </c>
      <c r="G17" s="453"/>
      <c r="H17" s="453"/>
      <c r="I17" s="453"/>
      <c r="J17" s="454"/>
      <c r="K17" s="25" t="s">
        <v>73</v>
      </c>
      <c r="L17" s="455">
        <f>IF('[1]p8'!$J$142&lt;&gt;0,'[1]p8'!$J$142,"")</f>
        <v>39144</v>
      </c>
      <c r="M17" s="456"/>
      <c r="N17" s="25" t="s">
        <v>74</v>
      </c>
      <c r="O17" s="455">
        <f>IF('[1]p8'!$K$142&lt;&gt;0,'[1]p8'!$K$142,"")</f>
        <v>39874</v>
      </c>
      <c r="P17" s="456"/>
      <c r="Q17" s="459"/>
      <c r="R17" s="459"/>
    </row>
    <row r="18" spans="1:18" ht="12.75">
      <c r="A18" s="382" t="s">
        <v>236</v>
      </c>
      <c r="B18" s="381"/>
      <c r="C18" s="381"/>
      <c r="D18" s="449">
        <f>'[1]p8'!$A$144</f>
        <v>0</v>
      </c>
      <c r="E18" s="450"/>
      <c r="F18" s="382" t="s">
        <v>237</v>
      </c>
      <c r="G18" s="381"/>
      <c r="H18" s="449">
        <f>'[1]p8'!$D$144</f>
        <v>0</v>
      </c>
      <c r="I18" s="450"/>
      <c r="J18" s="382" t="s">
        <v>238</v>
      </c>
      <c r="K18" s="381"/>
      <c r="L18" s="449">
        <f>'[1]p8'!$G$144</f>
        <v>0</v>
      </c>
      <c r="M18" s="450"/>
      <c r="N18" s="112" t="s">
        <v>239</v>
      </c>
      <c r="O18" s="449">
        <f>'[1]p8'!$J$144</f>
        <v>0</v>
      </c>
      <c r="P18" s="450"/>
      <c r="Q18" s="459"/>
      <c r="R18" s="459"/>
    </row>
    <row r="19" spans="1:18" ht="12.7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459"/>
      <c r="R19" s="459"/>
    </row>
    <row r="20" spans="1:18" s="3" customFormat="1" ht="13.5" customHeight="1">
      <c r="A20" s="25" t="s">
        <v>75</v>
      </c>
      <c r="B20" s="379" t="str">
        <f>IF('[1]p8'!$A$147&lt;&gt;0,'[1]p8'!$A$147,"")</f>
        <v>Programa Interdepartamental de Tecnologia em Petróleo e Gás - PRH(25)</v>
      </c>
      <c r="C20" s="379"/>
      <c r="D20" s="379"/>
      <c r="E20" s="379"/>
      <c r="F20" s="379"/>
      <c r="G20" s="379"/>
      <c r="H20" s="379"/>
      <c r="I20" s="380"/>
      <c r="J20" s="382" t="s">
        <v>234</v>
      </c>
      <c r="K20" s="381"/>
      <c r="L20" s="111" t="str">
        <f>IF('[1]p8'!$I$147&lt;&gt;0,'[1]p8'!$I$147,"")</f>
        <v>ANP</v>
      </c>
      <c r="M20" s="61" t="s">
        <v>233</v>
      </c>
      <c r="N20" s="457" t="str">
        <f>IF('[1]p8'!$K$147&lt;&gt;0,'[1]p8'!$K$147,"")</f>
        <v>Em andamento</v>
      </c>
      <c r="O20" s="457"/>
      <c r="P20" s="458"/>
      <c r="Q20" s="459"/>
      <c r="R20" s="459"/>
    </row>
    <row r="21" spans="1:18" s="3" customFormat="1" ht="13.5" customHeight="1">
      <c r="A21" s="25" t="s">
        <v>86</v>
      </c>
      <c r="B21" s="443" t="str">
        <f>IF('[1]p8'!$H$149&lt;&gt;0,'[1]p8'!$H$149,"")</f>
        <v>Participante</v>
      </c>
      <c r="C21" s="444"/>
      <c r="D21" s="451" t="s">
        <v>235</v>
      </c>
      <c r="E21" s="452"/>
      <c r="F21" s="453" t="str">
        <f>IF('[1]p8'!$A$149&lt;&gt;0,'[1]p8'!$A$149,"")</f>
        <v>Matemática Aplicada, Dinâmica dos Fluidos</v>
      </c>
      <c r="G21" s="453"/>
      <c r="H21" s="453"/>
      <c r="I21" s="453"/>
      <c r="J21" s="454"/>
      <c r="K21" s="25" t="s">
        <v>73</v>
      </c>
      <c r="L21" s="455">
        <f>IF('[1]p8'!$J$149&lt;&gt;0,'[1]p8'!$J$149,"")</f>
        <v>37288</v>
      </c>
      <c r="M21" s="456"/>
      <c r="N21" s="25" t="s">
        <v>74</v>
      </c>
      <c r="O21" s="455">
        <f>IF('[1]p8'!$K$149&lt;&gt;0,'[1]p8'!$K$149,"")</f>
      </c>
      <c r="P21" s="456"/>
      <c r="Q21" s="459"/>
      <c r="R21" s="459"/>
    </row>
    <row r="22" spans="1:18" ht="12.75">
      <c r="A22" s="382" t="s">
        <v>236</v>
      </c>
      <c r="B22" s="381"/>
      <c r="C22" s="381"/>
      <c r="D22" s="449">
        <f>'[1]p8'!$A$151</f>
        <v>0</v>
      </c>
      <c r="E22" s="450"/>
      <c r="F22" s="382" t="s">
        <v>240</v>
      </c>
      <c r="G22" s="381"/>
      <c r="H22" s="449">
        <f>'[1]p8'!$D$151</f>
        <v>0</v>
      </c>
      <c r="I22" s="450"/>
      <c r="J22" s="382" t="s">
        <v>238</v>
      </c>
      <c r="K22" s="381"/>
      <c r="L22" s="449">
        <f>'[1]p8'!$G$151</f>
        <v>0</v>
      </c>
      <c r="M22" s="450"/>
      <c r="N22" s="112" t="s">
        <v>239</v>
      </c>
      <c r="O22" s="449">
        <f>'[1]p8'!$J$151</f>
        <v>0</v>
      </c>
      <c r="P22" s="450"/>
      <c r="Q22" s="459"/>
      <c r="R22" s="459"/>
    </row>
    <row r="23" spans="1:18" ht="12.75">
      <c r="A23" s="383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459"/>
      <c r="R23" s="459"/>
    </row>
    <row r="24" spans="1:18" s="3" customFormat="1" ht="13.5" customHeight="1">
      <c r="A24" s="25" t="s">
        <v>75</v>
      </c>
      <c r="B24" s="379" t="str">
        <f>IF('[1]p8'!$A$154&lt;&gt;0,'[1]p8'!$A$154,"")</f>
        <v>Equações Diferenciais Aplicadas a Recuperação de Reservatórios Petrolíferos</v>
      </c>
      <c r="C24" s="379"/>
      <c r="D24" s="379"/>
      <c r="E24" s="379"/>
      <c r="F24" s="379"/>
      <c r="G24" s="379"/>
      <c r="H24" s="379"/>
      <c r="I24" s="380"/>
      <c r="J24" s="382" t="s">
        <v>234</v>
      </c>
      <c r="K24" s="381"/>
      <c r="L24" s="111" t="str">
        <f>IF('[1]p8'!$I$154&lt;&gt;0,'[1]p8'!$I$154,"")</f>
        <v>CNPq</v>
      </c>
      <c r="M24" s="61" t="s">
        <v>233</v>
      </c>
      <c r="N24" s="457" t="str">
        <f>IF('[1]p8'!$K$154&lt;&gt;0,'[1]p8'!$K$154,"")</f>
        <v>Em andamento</v>
      </c>
      <c r="O24" s="457"/>
      <c r="P24" s="458"/>
      <c r="Q24" s="459"/>
      <c r="R24" s="459"/>
    </row>
    <row r="25" spans="1:18" s="3" customFormat="1" ht="13.5" customHeight="1">
      <c r="A25" s="25" t="s">
        <v>86</v>
      </c>
      <c r="B25" s="443" t="str">
        <f>IF('[1]p8'!$H$156&lt;&gt;0,'[1]p8'!$H$156,"")</f>
        <v>Coordenador</v>
      </c>
      <c r="C25" s="444"/>
      <c r="D25" s="451" t="s">
        <v>235</v>
      </c>
      <c r="E25" s="452"/>
      <c r="F25" s="453" t="str">
        <f>IF('[1]p8'!$A$156&lt;&gt;0,'[1]p8'!$A$156,"")</f>
        <v>Matemática Aplicada</v>
      </c>
      <c r="G25" s="453"/>
      <c r="H25" s="453"/>
      <c r="I25" s="453"/>
      <c r="J25" s="454"/>
      <c r="K25" s="25" t="s">
        <v>73</v>
      </c>
      <c r="L25" s="455">
        <f>IF('[1]p8'!$J$156&lt;&gt;0,'[1]p8'!$J$156,"")</f>
        <v>39508</v>
      </c>
      <c r="M25" s="456"/>
      <c r="N25" s="25" t="s">
        <v>74</v>
      </c>
      <c r="O25" s="455">
        <f>IF('[1]p8'!$K$156&lt;&gt;0,'[1]p8'!$K$156,"")</f>
        <v>40237</v>
      </c>
      <c r="P25" s="456"/>
      <c r="Q25" s="459"/>
      <c r="R25" s="459"/>
    </row>
    <row r="26" spans="1:18" ht="12.75">
      <c r="A26" s="382" t="s">
        <v>236</v>
      </c>
      <c r="B26" s="381"/>
      <c r="C26" s="381"/>
      <c r="D26" s="449">
        <f>'[1]p8'!$A$158</f>
        <v>73800</v>
      </c>
      <c r="E26" s="450"/>
      <c r="F26" s="382" t="s">
        <v>240</v>
      </c>
      <c r="G26" s="381"/>
      <c r="H26" s="449">
        <f>'[1]p8'!$D$158</f>
        <v>73800</v>
      </c>
      <c r="I26" s="450"/>
      <c r="J26" s="382" t="s">
        <v>238</v>
      </c>
      <c r="K26" s="381"/>
      <c r="L26" s="449">
        <f>'[1]p8'!$G$158</f>
        <v>8754.67</v>
      </c>
      <c r="M26" s="450"/>
      <c r="N26" s="112" t="s">
        <v>239</v>
      </c>
      <c r="O26" s="449">
        <f>'[1]p8'!$J$158</f>
        <v>64845.33</v>
      </c>
      <c r="P26" s="450"/>
      <c r="Q26" s="459"/>
      <c r="R26" s="459"/>
    </row>
    <row r="27" spans="1:18" ht="12.75">
      <c r="A27" s="383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459"/>
      <c r="R27" s="459"/>
    </row>
    <row r="28" spans="1:18" s="3" customFormat="1" ht="13.5" customHeight="1">
      <c r="A28" s="25" t="s">
        <v>75</v>
      </c>
      <c r="B28" s="379" t="str">
        <f>IF('[1]p8'!$A$161&lt;&gt;0,'[1]p8'!$A$161,"")</f>
        <v>Instituto do Milênio: Avanço Global e Integrado da Matemática Brasileira / IM-AGIMB</v>
      </c>
      <c r="C28" s="379"/>
      <c r="D28" s="379"/>
      <c r="E28" s="379"/>
      <c r="F28" s="379"/>
      <c r="G28" s="379"/>
      <c r="H28" s="379"/>
      <c r="I28" s="380"/>
      <c r="J28" s="382" t="s">
        <v>234</v>
      </c>
      <c r="K28" s="381"/>
      <c r="L28" s="111" t="str">
        <f>IF('[1]p8'!$I$161&lt;&gt;0,'[1]p8'!$I$161,"")</f>
        <v>CNPq</v>
      </c>
      <c r="M28" s="61" t="s">
        <v>233</v>
      </c>
      <c r="N28" s="457" t="str">
        <f>IF('[1]p8'!$K$161&lt;&gt;0,'[1]p8'!$K$161,"")</f>
        <v>Em andamento</v>
      </c>
      <c r="O28" s="457"/>
      <c r="P28" s="458"/>
      <c r="Q28" s="459"/>
      <c r="R28" s="459"/>
    </row>
    <row r="29" spans="1:18" s="3" customFormat="1" ht="13.5" customHeight="1">
      <c r="A29" s="25" t="s">
        <v>86</v>
      </c>
      <c r="B29" s="443" t="str">
        <f>IF('[1]p8'!$H$163&lt;&gt;0,'[1]p8'!$H$163,"")</f>
        <v>Coordenador</v>
      </c>
      <c r="C29" s="444"/>
      <c r="D29" s="451" t="s">
        <v>235</v>
      </c>
      <c r="E29" s="452"/>
      <c r="F29" s="453" t="str">
        <f>IF('[1]p8'!$A$163&lt;&gt;0,'[1]p8'!$A$163,"")</f>
        <v>Matemática</v>
      </c>
      <c r="G29" s="453"/>
      <c r="H29" s="453"/>
      <c r="I29" s="453"/>
      <c r="J29" s="454"/>
      <c r="K29" s="25" t="s">
        <v>73</v>
      </c>
      <c r="L29" s="455">
        <f>IF('[1]p8'!$J$163&lt;&gt;0,'[1]p8'!$J$163,"")</f>
        <v>37316</v>
      </c>
      <c r="M29" s="456"/>
      <c r="N29" s="25" t="s">
        <v>74</v>
      </c>
      <c r="O29" s="455">
        <f>IF('[1]p8'!$K$163&lt;&gt;0,'[1]p8'!$K$163,"")</f>
        <v>39752</v>
      </c>
      <c r="P29" s="456"/>
      <c r="Q29" s="459"/>
      <c r="R29" s="459"/>
    </row>
    <row r="30" spans="1:18" ht="12.75">
      <c r="A30" s="382" t="s">
        <v>236</v>
      </c>
      <c r="B30" s="381"/>
      <c r="C30" s="381"/>
      <c r="D30" s="449">
        <f>'[1]p8'!$A$165</f>
        <v>10000</v>
      </c>
      <c r="E30" s="450"/>
      <c r="F30" s="382" t="s">
        <v>240</v>
      </c>
      <c r="G30" s="381"/>
      <c r="H30" s="449">
        <f>'[1]p8'!$D$165</f>
        <v>10000</v>
      </c>
      <c r="I30" s="450"/>
      <c r="J30" s="382" t="s">
        <v>238</v>
      </c>
      <c r="K30" s="381"/>
      <c r="L30" s="449">
        <f>'[1]p8'!$G$165</f>
        <v>10000</v>
      </c>
      <c r="M30" s="450"/>
      <c r="N30" s="112" t="s">
        <v>239</v>
      </c>
      <c r="O30" s="449">
        <f>'[1]p8'!$J$165</f>
        <v>0</v>
      </c>
      <c r="P30" s="450"/>
      <c r="Q30" s="459"/>
      <c r="R30" s="459"/>
    </row>
    <row r="31" spans="1:18" ht="12.75">
      <c r="A31" s="38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459"/>
      <c r="R31" s="459"/>
    </row>
    <row r="32" spans="1:19" s="46" customFormat="1" ht="11.25" customHeight="1">
      <c r="A32" s="382" t="str">
        <f>T('[1]p9'!$C$13:$G$13)</f>
        <v>Bianca Morelli Casalvara Caretta</v>
      </c>
      <c r="B32" s="381"/>
      <c r="C32" s="381"/>
      <c r="D32" s="381"/>
      <c r="E32" s="384"/>
      <c r="F32" s="439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59"/>
      <c r="R32" s="459"/>
      <c r="S32" s="39"/>
    </row>
    <row r="33" spans="1:18" s="3" customFormat="1" ht="13.5" customHeight="1">
      <c r="A33" s="25" t="s">
        <v>75</v>
      </c>
      <c r="B33" s="379" t="str">
        <f>IF('[1]p9'!$A$140&lt;&gt;0,'[1]p9'!$A$140,"")</f>
        <v>Existência de Soluções p/ Mod. de Solidificação envolvendo Funções Campo de Fase</v>
      </c>
      <c r="C33" s="379"/>
      <c r="D33" s="379"/>
      <c r="E33" s="379"/>
      <c r="F33" s="379"/>
      <c r="G33" s="379"/>
      <c r="H33" s="379"/>
      <c r="I33" s="380"/>
      <c r="J33" s="382" t="s">
        <v>234</v>
      </c>
      <c r="K33" s="381"/>
      <c r="L33" s="111">
        <f>IF('[1]p9'!$I$140&lt;&gt;0,'[1]p9'!$I$140,"")</f>
      </c>
      <c r="M33" s="61" t="s">
        <v>233</v>
      </c>
      <c r="N33" s="457" t="str">
        <f>IF('[1]p9'!$K$140&lt;&gt;0,'[1]p9'!$K$140,"")</f>
        <v>Em andamento</v>
      </c>
      <c r="O33" s="457"/>
      <c r="P33" s="458"/>
      <c r="Q33" s="459"/>
      <c r="R33" s="459"/>
    </row>
    <row r="34" spans="1:18" s="3" customFormat="1" ht="13.5" customHeight="1">
      <c r="A34" s="25" t="s">
        <v>86</v>
      </c>
      <c r="B34" s="443" t="str">
        <f>IF('[1]p9'!$H$142&lt;&gt;0,'[1]p9'!$H$142,"")</f>
        <v>Coordenador</v>
      </c>
      <c r="C34" s="444"/>
      <c r="D34" s="451" t="s">
        <v>235</v>
      </c>
      <c r="E34" s="452"/>
      <c r="F34" s="453" t="str">
        <f>IF('[1]p9'!$A$142&lt;&gt;0,'[1]p9'!$A$142,"")</f>
        <v>Equações Diferenciais Parciais</v>
      </c>
      <c r="G34" s="453"/>
      <c r="H34" s="453"/>
      <c r="I34" s="453"/>
      <c r="J34" s="454"/>
      <c r="K34" s="25" t="s">
        <v>73</v>
      </c>
      <c r="L34" s="455">
        <f>IF('[1]p9'!$J$142&lt;&gt;0,'[1]p9'!$J$142,"")</f>
        <v>38384</v>
      </c>
      <c r="M34" s="456"/>
      <c r="N34" s="25" t="s">
        <v>74</v>
      </c>
      <c r="O34" s="455">
        <f>IF('[1]p9'!$K$142&lt;&gt;0,'[1]p9'!$K$142,"")</f>
        <v>39873</v>
      </c>
      <c r="P34" s="456"/>
      <c r="Q34" s="459"/>
      <c r="R34" s="459"/>
    </row>
    <row r="35" spans="1:18" ht="12.75">
      <c r="A35" s="382" t="s">
        <v>236</v>
      </c>
      <c r="B35" s="381"/>
      <c r="C35" s="381"/>
      <c r="D35" s="449">
        <f>'[1]p9'!$A$144</f>
        <v>0</v>
      </c>
      <c r="E35" s="450"/>
      <c r="F35" s="382" t="s">
        <v>237</v>
      </c>
      <c r="G35" s="381"/>
      <c r="H35" s="449">
        <f>'[1]p9'!$D$144</f>
        <v>0</v>
      </c>
      <c r="I35" s="450"/>
      <c r="J35" s="382" t="s">
        <v>238</v>
      </c>
      <c r="K35" s="381"/>
      <c r="L35" s="449">
        <f>'[1]p9'!$G$144</f>
        <v>0</v>
      </c>
      <c r="M35" s="450"/>
      <c r="N35" s="112" t="s">
        <v>239</v>
      </c>
      <c r="O35" s="449">
        <f>'[1]p9'!$J$144</f>
        <v>0</v>
      </c>
      <c r="P35" s="450"/>
      <c r="Q35" s="459"/>
      <c r="R35" s="459"/>
    </row>
    <row r="36" spans="1:18" ht="12.75">
      <c r="A36" s="383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459"/>
      <c r="R36" s="459"/>
    </row>
    <row r="37" spans="1:18" s="3" customFormat="1" ht="13.5" customHeight="1">
      <c r="A37" s="25" t="s">
        <v>75</v>
      </c>
      <c r="B37" s="379" t="str">
        <f>IF('[1]p9'!$A$147&lt;&gt;0,'[1]p9'!$A$147,"")</f>
        <v>Exist. Local de Sol. p/ um Mod. De Solidific. envolvendo 3 Funções Campo de Fase</v>
      </c>
      <c r="C37" s="379"/>
      <c r="D37" s="379"/>
      <c r="E37" s="379"/>
      <c r="F37" s="379"/>
      <c r="G37" s="379"/>
      <c r="H37" s="379"/>
      <c r="I37" s="380"/>
      <c r="J37" s="382" t="s">
        <v>234</v>
      </c>
      <c r="K37" s="381"/>
      <c r="L37" s="111">
        <f>IF('[1]p9'!$I$147&lt;&gt;0,'[1]p9'!$I$147,"")</f>
      </c>
      <c r="M37" s="61" t="s">
        <v>233</v>
      </c>
      <c r="N37" s="457" t="str">
        <f>IF('[1]p9'!$K$147&lt;&gt;0,'[1]p9'!$K$147,"")</f>
        <v>Em andamento</v>
      </c>
      <c r="O37" s="457"/>
      <c r="P37" s="458"/>
      <c r="Q37" s="459"/>
      <c r="R37" s="459"/>
    </row>
    <row r="38" spans="1:18" s="3" customFormat="1" ht="13.5" customHeight="1">
      <c r="A38" s="25" t="s">
        <v>86</v>
      </c>
      <c r="B38" s="443" t="str">
        <f>IF('[1]p9'!$H$149&lt;&gt;0,'[1]p9'!$H$149,"")</f>
        <v>Coordenador</v>
      </c>
      <c r="C38" s="444"/>
      <c r="D38" s="451" t="s">
        <v>235</v>
      </c>
      <c r="E38" s="452"/>
      <c r="F38" s="453" t="str">
        <f>IF('[1]p9'!$A$149&lt;&gt;0,'[1]p9'!$A$149,"")</f>
        <v>Equações Diferenciais Parciais</v>
      </c>
      <c r="G38" s="453"/>
      <c r="H38" s="453"/>
      <c r="I38" s="453"/>
      <c r="J38" s="454"/>
      <c r="K38" s="25" t="s">
        <v>73</v>
      </c>
      <c r="L38" s="455">
        <f>IF('[1]p9'!$J$149&lt;&gt;0,'[1]p9'!$J$149,"")</f>
        <v>38808</v>
      </c>
      <c r="M38" s="456"/>
      <c r="N38" s="25" t="s">
        <v>74</v>
      </c>
      <c r="O38" s="455">
        <f>IF('[1]p9'!$K$149&lt;&gt;0,'[1]p9'!$K$149,"")</f>
        <v>39873</v>
      </c>
      <c r="P38" s="456"/>
      <c r="Q38" s="459"/>
      <c r="R38" s="459"/>
    </row>
    <row r="39" spans="1:18" ht="12.75">
      <c r="A39" s="382" t="s">
        <v>236</v>
      </c>
      <c r="B39" s="381"/>
      <c r="C39" s="381"/>
      <c r="D39" s="449">
        <f>'[1]p9'!$A$151</f>
        <v>0</v>
      </c>
      <c r="E39" s="450"/>
      <c r="F39" s="382" t="s">
        <v>240</v>
      </c>
      <c r="G39" s="381"/>
      <c r="H39" s="449">
        <f>'[1]p9'!$D$151</f>
        <v>0</v>
      </c>
      <c r="I39" s="450"/>
      <c r="J39" s="382" t="s">
        <v>238</v>
      </c>
      <c r="K39" s="381"/>
      <c r="L39" s="449">
        <f>'[1]p9'!$G$151</f>
        <v>0</v>
      </c>
      <c r="M39" s="450"/>
      <c r="N39" s="112" t="s">
        <v>239</v>
      </c>
      <c r="O39" s="449">
        <f>'[1]p9'!$J$151</f>
        <v>0</v>
      </c>
      <c r="P39" s="450"/>
      <c r="Q39" s="459"/>
      <c r="R39" s="459"/>
    </row>
    <row r="40" spans="1:18" ht="12.75">
      <c r="A40" s="38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459"/>
      <c r="R40" s="459"/>
    </row>
    <row r="41" spans="1:18" s="3" customFormat="1" ht="13.5" customHeight="1">
      <c r="A41" s="25" t="s">
        <v>75</v>
      </c>
      <c r="B41" s="379" t="str">
        <f>IF('[1]p9'!$A$154&lt;&gt;0,'[1]p9'!$A$154,"")</f>
        <v>Modelo envolvendo 3 Funções Campo de Fase e com Convecção para Solidificação de Ligas</v>
      </c>
      <c r="C41" s="379"/>
      <c r="D41" s="379"/>
      <c r="E41" s="379"/>
      <c r="F41" s="379"/>
      <c r="G41" s="379"/>
      <c r="H41" s="379"/>
      <c r="I41" s="380"/>
      <c r="J41" s="382" t="s">
        <v>234</v>
      </c>
      <c r="K41" s="381"/>
      <c r="L41" s="111">
        <f>IF('[1]p9'!$I$154&lt;&gt;0,'[1]p9'!$I$154,"")</f>
      </c>
      <c r="M41" s="61" t="s">
        <v>233</v>
      </c>
      <c r="N41" s="457" t="str">
        <f>IF('[1]p9'!$K$154&lt;&gt;0,'[1]p9'!$K$154,"")</f>
        <v>Em andamento</v>
      </c>
      <c r="O41" s="457"/>
      <c r="P41" s="458"/>
      <c r="Q41" s="459"/>
      <c r="R41" s="459"/>
    </row>
    <row r="42" spans="1:18" s="3" customFormat="1" ht="13.5" customHeight="1">
      <c r="A42" s="25" t="s">
        <v>86</v>
      </c>
      <c r="B42" s="443" t="str">
        <f>IF('[1]p9'!$H$156&lt;&gt;0,'[1]p9'!$H$156,"")</f>
        <v>Coordenador</v>
      </c>
      <c r="C42" s="444"/>
      <c r="D42" s="451" t="s">
        <v>235</v>
      </c>
      <c r="E42" s="452"/>
      <c r="F42" s="453" t="str">
        <f>IF('[1]p9'!$A$156&lt;&gt;0,'[1]p9'!$A$156,"")</f>
        <v>Equações Diferenciais Parciais</v>
      </c>
      <c r="G42" s="453"/>
      <c r="H42" s="453"/>
      <c r="I42" s="453"/>
      <c r="J42" s="454"/>
      <c r="K42" s="25" t="s">
        <v>73</v>
      </c>
      <c r="L42" s="455">
        <f>IF('[1]p9'!$J$156&lt;&gt;0,'[1]p9'!$J$156,"")</f>
        <v>39052</v>
      </c>
      <c r="M42" s="456"/>
      <c r="N42" s="25" t="s">
        <v>74</v>
      </c>
      <c r="O42" s="455">
        <f>IF('[1]p9'!$K$156&lt;&gt;0,'[1]p9'!$K$156,"")</f>
        <v>39845</v>
      </c>
      <c r="P42" s="456"/>
      <c r="Q42" s="459"/>
      <c r="R42" s="459"/>
    </row>
    <row r="43" spans="1:18" ht="12.75">
      <c r="A43" s="382" t="s">
        <v>236</v>
      </c>
      <c r="B43" s="381"/>
      <c r="C43" s="381"/>
      <c r="D43" s="449">
        <f>'[1]p9'!$A$158</f>
        <v>0</v>
      </c>
      <c r="E43" s="450"/>
      <c r="F43" s="382" t="s">
        <v>240</v>
      </c>
      <c r="G43" s="381"/>
      <c r="H43" s="449">
        <f>'[1]p9'!$D$158</f>
        <v>0</v>
      </c>
      <c r="I43" s="450"/>
      <c r="J43" s="382" t="s">
        <v>238</v>
      </c>
      <c r="K43" s="381"/>
      <c r="L43" s="449">
        <f>'[1]p9'!$G$158</f>
        <v>0</v>
      </c>
      <c r="M43" s="450"/>
      <c r="N43" s="112" t="s">
        <v>239</v>
      </c>
      <c r="O43" s="449">
        <f>'[1]p9'!$J$158</f>
        <v>0</v>
      </c>
      <c r="P43" s="450"/>
      <c r="Q43" s="459"/>
      <c r="R43" s="459"/>
    </row>
    <row r="44" spans="1:18" ht="12.75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459"/>
      <c r="R44" s="459"/>
    </row>
    <row r="45" spans="1:18" s="3" customFormat="1" ht="13.5" customHeight="1">
      <c r="A45" s="25" t="s">
        <v>75</v>
      </c>
      <c r="B45" s="379" t="str">
        <f>IF('[1]p9'!$A$161&lt;&gt;0,'[1]p9'!$A$161,"")</f>
        <v>Equações Diferenciais  Aplicadas e Álgebra com identidades polinomiais(Casadinho,Proc.CNPq 620025/2006-9)</v>
      </c>
      <c r="C45" s="379"/>
      <c r="D45" s="379"/>
      <c r="E45" s="379"/>
      <c r="F45" s="379"/>
      <c r="G45" s="379"/>
      <c r="H45" s="379"/>
      <c r="I45" s="380"/>
      <c r="J45" s="382" t="s">
        <v>234</v>
      </c>
      <c r="K45" s="381"/>
      <c r="L45" s="111" t="str">
        <f>IF('[1]p9'!$I$161&lt;&gt;0,'[1]p9'!$I$161,"")</f>
        <v>CNPq</v>
      </c>
      <c r="M45" s="61" t="s">
        <v>233</v>
      </c>
      <c r="N45" s="457" t="str">
        <f>IF('[1]p9'!$K$161&lt;&gt;0,'[1]p9'!$K$161,"")</f>
        <v>Em andamento</v>
      </c>
      <c r="O45" s="457"/>
      <c r="P45" s="458"/>
      <c r="Q45" s="459"/>
      <c r="R45" s="459"/>
    </row>
    <row r="46" spans="1:18" s="3" customFormat="1" ht="13.5" customHeight="1">
      <c r="A46" s="25" t="s">
        <v>86</v>
      </c>
      <c r="B46" s="443" t="str">
        <f>IF('[1]p9'!$H$163&lt;&gt;0,'[1]p9'!$H$163,"")</f>
        <v>Participante</v>
      </c>
      <c r="C46" s="444"/>
      <c r="D46" s="451" t="s">
        <v>235</v>
      </c>
      <c r="E46" s="452"/>
      <c r="F46" s="453" t="str">
        <f>IF('[1]p9'!$A$163&lt;&gt;0,'[1]p9'!$A$163,"")</f>
        <v>Matemática</v>
      </c>
      <c r="G46" s="453"/>
      <c r="H46" s="453"/>
      <c r="I46" s="453"/>
      <c r="J46" s="454"/>
      <c r="K46" s="25" t="s">
        <v>73</v>
      </c>
      <c r="L46" s="455">
        <f>IF('[1]p9'!$J$163&lt;&gt;0,'[1]p9'!$J$163,"")</f>
        <v>39144</v>
      </c>
      <c r="M46" s="456"/>
      <c r="N46" s="25" t="s">
        <v>74</v>
      </c>
      <c r="O46" s="455">
        <f>IF('[1]p9'!$K$163&lt;&gt;0,'[1]p9'!$K$163,"")</f>
        <v>39874</v>
      </c>
      <c r="P46" s="456"/>
      <c r="Q46" s="459"/>
      <c r="R46" s="459"/>
    </row>
    <row r="47" spans="1:18" ht="12.75">
      <c r="A47" s="382" t="s">
        <v>236</v>
      </c>
      <c r="B47" s="381"/>
      <c r="C47" s="381"/>
      <c r="D47" s="449">
        <f>'[1]p9'!$A$165</f>
        <v>0</v>
      </c>
      <c r="E47" s="450"/>
      <c r="F47" s="382" t="s">
        <v>240</v>
      </c>
      <c r="G47" s="381"/>
      <c r="H47" s="449">
        <f>'[1]p9'!$D$165</f>
        <v>0</v>
      </c>
      <c r="I47" s="450"/>
      <c r="J47" s="382" t="s">
        <v>238</v>
      </c>
      <c r="K47" s="381"/>
      <c r="L47" s="449">
        <f>'[1]p9'!$G$165</f>
        <v>0</v>
      </c>
      <c r="M47" s="450"/>
      <c r="N47" s="112" t="s">
        <v>239</v>
      </c>
      <c r="O47" s="449">
        <f>'[1]p9'!$J$165</f>
        <v>0</v>
      </c>
      <c r="P47" s="450"/>
      <c r="Q47" s="459"/>
      <c r="R47" s="459"/>
    </row>
    <row r="48" spans="1:18" ht="12.75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459"/>
      <c r="R48" s="459"/>
    </row>
    <row r="49" spans="1:19" s="46" customFormat="1" ht="11.25" customHeight="1">
      <c r="A49" s="382" t="str">
        <f>T('[1]p10'!$C$13:$G$13)</f>
        <v>Bráulio Maia Junior</v>
      </c>
      <c r="B49" s="381"/>
      <c r="C49" s="381"/>
      <c r="D49" s="381"/>
      <c r="E49" s="384"/>
      <c r="F49" s="439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59"/>
      <c r="R49" s="459"/>
      <c r="S49" s="39"/>
    </row>
    <row r="50" spans="1:18" s="3" customFormat="1" ht="13.5" customHeight="1">
      <c r="A50" s="25" t="s">
        <v>75</v>
      </c>
      <c r="B50" s="379" t="str">
        <f>IF('[1]p10'!$A$140&lt;&gt;0,'[1]p10'!$A$140,"")</f>
        <v>Matroides 3-Conexas</v>
      </c>
      <c r="C50" s="379"/>
      <c r="D50" s="379"/>
      <c r="E50" s="379"/>
      <c r="F50" s="379"/>
      <c r="G50" s="379"/>
      <c r="H50" s="379"/>
      <c r="I50" s="380"/>
      <c r="J50" s="382" t="s">
        <v>234</v>
      </c>
      <c r="K50" s="381"/>
      <c r="L50" s="111">
        <f>IF('[1]p10'!$I$140&lt;&gt;0,'[1]p10'!$I$140,"")</f>
      </c>
      <c r="M50" s="61" t="s">
        <v>233</v>
      </c>
      <c r="N50" s="457" t="str">
        <f>IF('[1]p10'!$K$140&lt;&gt;0,'[1]p10'!$K$140,"")</f>
        <v>Em andamento</v>
      </c>
      <c r="O50" s="457"/>
      <c r="P50" s="458"/>
      <c r="Q50" s="459"/>
      <c r="R50" s="459"/>
    </row>
    <row r="51" spans="1:18" s="3" customFormat="1" ht="13.5" customHeight="1">
      <c r="A51" s="25" t="s">
        <v>86</v>
      </c>
      <c r="B51" s="443" t="str">
        <f>IF('[1]p10'!$H$142&lt;&gt;0,'[1]p10'!$H$142,"")</f>
        <v>Coordenador</v>
      </c>
      <c r="C51" s="444"/>
      <c r="D51" s="451" t="s">
        <v>235</v>
      </c>
      <c r="E51" s="452"/>
      <c r="F51" s="453" t="str">
        <f>IF('[1]p10'!$A$142&lt;&gt;0,'[1]p10'!$A$142,"")</f>
        <v>Matematica Discreta</v>
      </c>
      <c r="G51" s="453"/>
      <c r="H51" s="453"/>
      <c r="I51" s="453"/>
      <c r="J51" s="454"/>
      <c r="K51" s="25" t="s">
        <v>73</v>
      </c>
      <c r="L51" s="455">
        <f>IF('[1]p10'!$J$142&lt;&gt;0,'[1]p10'!$J$142,"")</f>
        <v>38047</v>
      </c>
      <c r="M51" s="456"/>
      <c r="N51" s="25" t="s">
        <v>74</v>
      </c>
      <c r="O51" s="455">
        <f>IF('[1]p10'!$K$142&lt;&gt;0,'[1]p10'!$K$142,"")</f>
      </c>
      <c r="P51" s="456"/>
      <c r="Q51" s="459"/>
      <c r="R51" s="459"/>
    </row>
    <row r="52" spans="1:18" ht="12.75">
      <c r="A52" s="382" t="s">
        <v>236</v>
      </c>
      <c r="B52" s="381"/>
      <c r="C52" s="381"/>
      <c r="D52" s="449">
        <f>'[1]p10'!$A$144</f>
        <v>0</v>
      </c>
      <c r="E52" s="450"/>
      <c r="F52" s="382" t="s">
        <v>237</v>
      </c>
      <c r="G52" s="381"/>
      <c r="H52" s="449">
        <f>'[1]p10'!$D$144</f>
        <v>0</v>
      </c>
      <c r="I52" s="450"/>
      <c r="J52" s="382" t="s">
        <v>238</v>
      </c>
      <c r="K52" s="381"/>
      <c r="L52" s="449">
        <f>'[1]p10'!$G$144</f>
        <v>0</v>
      </c>
      <c r="M52" s="450"/>
      <c r="N52" s="112" t="s">
        <v>239</v>
      </c>
      <c r="O52" s="449">
        <f>'[1]p10'!$J$144</f>
        <v>0</v>
      </c>
      <c r="P52" s="450"/>
      <c r="Q52" s="459"/>
      <c r="R52" s="459"/>
    </row>
    <row r="53" spans="1:18" ht="12.75">
      <c r="A53" s="383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459"/>
      <c r="R53" s="459"/>
    </row>
    <row r="54" spans="1:19" s="46" customFormat="1" ht="11.25" customHeight="1">
      <c r="A54" s="382" t="str">
        <f>T('[1]p11'!$C$13:$G$13)</f>
        <v>Claudianor Oliveira Alves</v>
      </c>
      <c r="B54" s="381"/>
      <c r="C54" s="381"/>
      <c r="D54" s="381"/>
      <c r="E54" s="384"/>
      <c r="F54" s="439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59"/>
      <c r="R54" s="459"/>
      <c r="S54" s="39"/>
    </row>
    <row r="55" spans="1:18" s="3" customFormat="1" ht="13.5" customHeight="1">
      <c r="A55" s="25" t="s">
        <v>75</v>
      </c>
      <c r="B55" s="379" t="str">
        <f>IF('[1]p11'!$A$140&lt;&gt;0,'[1]p11'!$A$140,"")</f>
        <v>Equações Dif.  Aplicadas e Álgebra com Identidades Polinomiais (Casadinho, Proc.620025/2006-9)</v>
      </c>
      <c r="C55" s="379"/>
      <c r="D55" s="379"/>
      <c r="E55" s="379"/>
      <c r="F55" s="379"/>
      <c r="G55" s="379"/>
      <c r="H55" s="379"/>
      <c r="I55" s="380"/>
      <c r="J55" s="382" t="s">
        <v>234</v>
      </c>
      <c r="K55" s="381"/>
      <c r="L55" s="111" t="str">
        <f>IF('[1]p11'!$I$140&lt;&gt;0,'[1]p11'!$I$140,"")</f>
        <v>CNPq</v>
      </c>
      <c r="M55" s="61" t="s">
        <v>233</v>
      </c>
      <c r="N55" s="457" t="str">
        <f>IF('[1]p11'!$K$140&lt;&gt;0,'[1]p11'!$K$140,"")</f>
        <v>Em andamento</v>
      </c>
      <c r="O55" s="457"/>
      <c r="P55" s="458"/>
      <c r="Q55" s="459"/>
      <c r="R55" s="459"/>
    </row>
    <row r="56" spans="1:18" s="3" customFormat="1" ht="13.5" customHeight="1">
      <c r="A56" s="25" t="s">
        <v>86</v>
      </c>
      <c r="B56" s="443" t="str">
        <f>IF('[1]p11'!$H$142&lt;&gt;0,'[1]p11'!$H$142,"")</f>
        <v>Coordenador</v>
      </c>
      <c r="C56" s="444"/>
      <c r="D56" s="451" t="s">
        <v>235</v>
      </c>
      <c r="E56" s="452"/>
      <c r="F56" s="453" t="str">
        <f>IF('[1]p11'!$A$142&lt;&gt;0,'[1]p11'!$A$142,"")</f>
        <v>Matemática</v>
      </c>
      <c r="G56" s="453"/>
      <c r="H56" s="453"/>
      <c r="I56" s="453"/>
      <c r="J56" s="454"/>
      <c r="K56" s="25" t="s">
        <v>73</v>
      </c>
      <c r="L56" s="455">
        <f>IF('[1]p11'!$J$142&lt;&gt;0,'[1]p11'!$J$142,"")</f>
        <v>39144</v>
      </c>
      <c r="M56" s="456"/>
      <c r="N56" s="25" t="s">
        <v>74</v>
      </c>
      <c r="O56" s="455">
        <f>IF('[1]p11'!$K$142&lt;&gt;0,'[1]p11'!$K$142,"")</f>
        <v>39874</v>
      </c>
      <c r="P56" s="456"/>
      <c r="Q56" s="459"/>
      <c r="R56" s="459"/>
    </row>
    <row r="57" spans="1:18" ht="12.75">
      <c r="A57" s="382" t="s">
        <v>236</v>
      </c>
      <c r="B57" s="381"/>
      <c r="C57" s="381"/>
      <c r="D57" s="449">
        <f>'[1]p11'!$A$144</f>
        <v>185823.86</v>
      </c>
      <c r="E57" s="450"/>
      <c r="F57" s="382" t="s">
        <v>237</v>
      </c>
      <c r="G57" s="381"/>
      <c r="H57" s="449">
        <f>'[1]p11'!$D$144</f>
        <v>185823.86</v>
      </c>
      <c r="I57" s="450"/>
      <c r="J57" s="382" t="s">
        <v>238</v>
      </c>
      <c r="K57" s="381"/>
      <c r="L57" s="449">
        <f>'[1]p11'!$G$144</f>
        <v>87323</v>
      </c>
      <c r="M57" s="450"/>
      <c r="N57" s="112" t="s">
        <v>239</v>
      </c>
      <c r="O57" s="449">
        <f>'[1]p11'!$J$144</f>
        <v>98500.86</v>
      </c>
      <c r="P57" s="450"/>
      <c r="Q57" s="459"/>
      <c r="R57" s="459"/>
    </row>
    <row r="58" spans="1:18" ht="12.75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459"/>
      <c r="R58" s="459"/>
    </row>
    <row r="59" spans="1:18" s="3" customFormat="1" ht="13.5" customHeight="1">
      <c r="A59" s="25" t="s">
        <v>75</v>
      </c>
      <c r="B59" s="379" t="str">
        <f>IF('[1]p11'!$A$147&lt;&gt;0,'[1]p11'!$A$147,"")</f>
        <v>Pesquisa em Equações Diferenciais Elípticas: Soluções Mult-Bump</v>
      </c>
      <c r="C59" s="379"/>
      <c r="D59" s="379"/>
      <c r="E59" s="379"/>
      <c r="F59" s="379"/>
      <c r="G59" s="379"/>
      <c r="H59" s="379"/>
      <c r="I59" s="380"/>
      <c r="J59" s="382" t="s">
        <v>234</v>
      </c>
      <c r="K59" s="381"/>
      <c r="L59" s="111" t="str">
        <f>IF('[1]p11'!$I$147&lt;&gt;0,'[1]p11'!$I$147,"")</f>
        <v>CNPq</v>
      </c>
      <c r="M59" s="61" t="s">
        <v>233</v>
      </c>
      <c r="N59" s="457" t="str">
        <f>IF('[1]p11'!$K$147&lt;&gt;0,'[1]p11'!$K$147,"")</f>
        <v>Em andamento</v>
      </c>
      <c r="O59" s="457"/>
      <c r="P59" s="458"/>
      <c r="Q59" s="459"/>
      <c r="R59" s="459"/>
    </row>
    <row r="60" spans="1:18" s="3" customFormat="1" ht="13.5" customHeight="1">
      <c r="A60" s="25" t="s">
        <v>86</v>
      </c>
      <c r="B60" s="443" t="str">
        <f>IF('[1]p11'!$H$149&lt;&gt;0,'[1]p11'!$H$149,"")</f>
        <v>Coordenador</v>
      </c>
      <c r="C60" s="444"/>
      <c r="D60" s="451" t="s">
        <v>235</v>
      </c>
      <c r="E60" s="452"/>
      <c r="F60" s="453" t="str">
        <f>IF('[1]p11'!$A$149&lt;&gt;0,'[1]p11'!$A$149,"")</f>
        <v>Análise</v>
      </c>
      <c r="G60" s="453"/>
      <c r="H60" s="453"/>
      <c r="I60" s="453"/>
      <c r="J60" s="454"/>
      <c r="K60" s="25" t="s">
        <v>73</v>
      </c>
      <c r="L60" s="455">
        <f>IF('[1]p11'!$J$149&lt;&gt;0,'[1]p11'!$J$149,"")</f>
        <v>38412</v>
      </c>
      <c r="M60" s="456"/>
      <c r="N60" s="25" t="s">
        <v>74</v>
      </c>
      <c r="O60" s="455">
        <f>IF('[1]p11'!$K$149&lt;&gt;0,'[1]p11'!$K$149,"")</f>
      </c>
      <c r="P60" s="456"/>
      <c r="Q60" s="459"/>
      <c r="R60" s="459"/>
    </row>
    <row r="61" spans="1:18" ht="12.75">
      <c r="A61" s="382" t="s">
        <v>236</v>
      </c>
      <c r="B61" s="381"/>
      <c r="C61" s="381"/>
      <c r="D61" s="449">
        <f>'[1]p11'!$A$151</f>
        <v>0</v>
      </c>
      <c r="E61" s="450"/>
      <c r="F61" s="382" t="s">
        <v>240</v>
      </c>
      <c r="G61" s="381"/>
      <c r="H61" s="449">
        <f>'[1]p11'!$D$151</f>
        <v>0</v>
      </c>
      <c r="I61" s="450"/>
      <c r="J61" s="382" t="s">
        <v>238</v>
      </c>
      <c r="K61" s="381"/>
      <c r="L61" s="449">
        <f>'[1]p11'!$G$151</f>
        <v>0</v>
      </c>
      <c r="M61" s="450"/>
      <c r="N61" s="112" t="s">
        <v>239</v>
      </c>
      <c r="O61" s="449">
        <f>'[1]p11'!$J$151</f>
        <v>0</v>
      </c>
      <c r="P61" s="450"/>
      <c r="Q61" s="459"/>
      <c r="R61" s="459"/>
    </row>
    <row r="62" spans="1:18" ht="12.75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459"/>
      <c r="R62" s="459"/>
    </row>
    <row r="63" spans="1:18" s="3" customFormat="1" ht="13.5" customHeight="1">
      <c r="A63" s="25" t="s">
        <v>75</v>
      </c>
      <c r="B63" s="379" t="str">
        <f>IF('[1]p11'!$A$154&lt;&gt;0,'[1]p11'!$A$154,"")</f>
        <v>Projeto Universal CNPq </v>
      </c>
      <c r="C63" s="379"/>
      <c r="D63" s="379"/>
      <c r="E63" s="379"/>
      <c r="F63" s="379"/>
      <c r="G63" s="379"/>
      <c r="H63" s="379"/>
      <c r="I63" s="380"/>
      <c r="J63" s="382" t="s">
        <v>234</v>
      </c>
      <c r="K63" s="381"/>
      <c r="L63" s="111" t="str">
        <f>IF('[1]p11'!$I$154&lt;&gt;0,'[1]p11'!$I$154,"")</f>
        <v>CNPq</v>
      </c>
      <c r="M63" s="61" t="s">
        <v>233</v>
      </c>
      <c r="N63" s="457" t="str">
        <f>IF('[1]p11'!$K$154&lt;&gt;0,'[1]p11'!$K$154,"")</f>
        <v>Em andamento</v>
      </c>
      <c r="O63" s="457"/>
      <c r="P63" s="458"/>
      <c r="Q63" s="459"/>
      <c r="R63" s="459"/>
    </row>
    <row r="64" spans="1:18" s="3" customFormat="1" ht="13.5" customHeight="1">
      <c r="A64" s="25" t="s">
        <v>86</v>
      </c>
      <c r="B64" s="443" t="str">
        <f>IF('[1]p11'!$H$156&lt;&gt;0,'[1]p11'!$H$156,"")</f>
        <v>Participante</v>
      </c>
      <c r="C64" s="444"/>
      <c r="D64" s="451" t="s">
        <v>235</v>
      </c>
      <c r="E64" s="452"/>
      <c r="F64" s="453" t="str">
        <f>IF('[1]p11'!$A$156&lt;&gt;0,'[1]p11'!$A$156,"")</f>
        <v>Análise/EDP</v>
      </c>
      <c r="G64" s="453"/>
      <c r="H64" s="453"/>
      <c r="I64" s="453"/>
      <c r="J64" s="454"/>
      <c r="K64" s="25" t="s">
        <v>73</v>
      </c>
      <c r="L64" s="455">
        <f>IF('[1]p11'!$J$156&lt;&gt;0,'[1]p11'!$J$156,"")</f>
      </c>
      <c r="M64" s="456"/>
      <c r="N64" s="25" t="s">
        <v>74</v>
      </c>
      <c r="O64" s="455">
        <f>IF('[1]p11'!$K$156&lt;&gt;0,'[1]p11'!$K$156,"")</f>
      </c>
      <c r="P64" s="456"/>
      <c r="Q64" s="459"/>
      <c r="R64" s="459"/>
    </row>
    <row r="65" spans="1:18" ht="12.75">
      <c r="A65" s="382" t="s">
        <v>236</v>
      </c>
      <c r="B65" s="381"/>
      <c r="C65" s="381"/>
      <c r="D65" s="449">
        <f>'[1]p11'!$A$158</f>
        <v>0</v>
      </c>
      <c r="E65" s="450"/>
      <c r="F65" s="382" t="s">
        <v>240</v>
      </c>
      <c r="G65" s="381"/>
      <c r="H65" s="449">
        <f>'[1]p11'!$D$158</f>
        <v>0</v>
      </c>
      <c r="I65" s="450"/>
      <c r="J65" s="382" t="s">
        <v>238</v>
      </c>
      <c r="K65" s="381"/>
      <c r="L65" s="449">
        <f>'[1]p11'!$G$158</f>
        <v>0</v>
      </c>
      <c r="M65" s="450"/>
      <c r="N65" s="112" t="s">
        <v>239</v>
      </c>
      <c r="O65" s="449">
        <f>'[1]p11'!$J$158</f>
        <v>0</v>
      </c>
      <c r="P65" s="450"/>
      <c r="Q65" s="459"/>
      <c r="R65" s="459"/>
    </row>
    <row r="66" spans="1:18" ht="12.75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459"/>
      <c r="R66" s="459"/>
    </row>
    <row r="67" spans="1:18" s="3" customFormat="1" ht="13.5" customHeight="1">
      <c r="A67" s="25" t="s">
        <v>75</v>
      </c>
      <c r="B67" s="379" t="str">
        <f>IF('[1]p11'!$A$161&lt;&gt;0,'[1]p11'!$A$161,"")</f>
        <v>Existência, perfil e concentração de soluções para uma classe de problemas elípticos. </v>
      </c>
      <c r="C67" s="379"/>
      <c r="D67" s="379"/>
      <c r="E67" s="379"/>
      <c r="F67" s="379"/>
      <c r="G67" s="379"/>
      <c r="H67" s="379"/>
      <c r="I67" s="380"/>
      <c r="J67" s="382" t="s">
        <v>234</v>
      </c>
      <c r="K67" s="381"/>
      <c r="L67" s="111" t="str">
        <f>IF('[1]p11'!$I$161&lt;&gt;0,'[1]p11'!$I$161,"")</f>
        <v>CNPq</v>
      </c>
      <c r="M67" s="61" t="s">
        <v>233</v>
      </c>
      <c r="N67" s="457" t="str">
        <f>IF('[1]p11'!$K$161&lt;&gt;0,'[1]p11'!$K$161,"")</f>
        <v>Em andamento</v>
      </c>
      <c r="O67" s="457"/>
      <c r="P67" s="458"/>
      <c r="Q67" s="459"/>
      <c r="R67" s="459"/>
    </row>
    <row r="68" spans="1:18" s="3" customFormat="1" ht="13.5" customHeight="1">
      <c r="A68" s="25" t="s">
        <v>86</v>
      </c>
      <c r="B68" s="443" t="str">
        <f>IF('[1]p11'!$H$163&lt;&gt;0,'[1]p11'!$H$163,"")</f>
        <v>Coordenador</v>
      </c>
      <c r="C68" s="444"/>
      <c r="D68" s="451" t="s">
        <v>235</v>
      </c>
      <c r="E68" s="452"/>
      <c r="F68" s="453" t="str">
        <f>IF('[1]p11'!$A$163&lt;&gt;0,'[1]p11'!$A$163,"")</f>
        <v>Análise/EDP</v>
      </c>
      <c r="G68" s="453"/>
      <c r="H68" s="453"/>
      <c r="I68" s="453"/>
      <c r="J68" s="454"/>
      <c r="K68" s="25" t="s">
        <v>73</v>
      </c>
      <c r="L68" s="455">
        <f>IF('[1]p11'!$J$163&lt;&gt;0,'[1]p11'!$J$163,"")</f>
        <v>39142</v>
      </c>
      <c r="M68" s="456"/>
      <c r="N68" s="25" t="s">
        <v>74</v>
      </c>
      <c r="O68" s="455">
        <f>IF('[1]p11'!$K$163&lt;&gt;0,'[1]p11'!$K$163,"")</f>
        <v>39845</v>
      </c>
      <c r="P68" s="456"/>
      <c r="Q68" s="459"/>
      <c r="R68" s="459"/>
    </row>
    <row r="69" spans="1:18" ht="12.75">
      <c r="A69" s="382" t="s">
        <v>236</v>
      </c>
      <c r="B69" s="381"/>
      <c r="C69" s="381"/>
      <c r="D69" s="449">
        <f>'[1]p11'!$A$165</f>
        <v>0</v>
      </c>
      <c r="E69" s="450"/>
      <c r="F69" s="382" t="s">
        <v>240</v>
      </c>
      <c r="G69" s="381"/>
      <c r="H69" s="449">
        <f>'[1]p11'!$D$165</f>
        <v>0</v>
      </c>
      <c r="I69" s="450"/>
      <c r="J69" s="382" t="s">
        <v>238</v>
      </c>
      <c r="K69" s="381"/>
      <c r="L69" s="449">
        <f>'[1]p11'!$G$165</f>
        <v>0</v>
      </c>
      <c r="M69" s="450"/>
      <c r="N69" s="112" t="s">
        <v>239</v>
      </c>
      <c r="O69" s="449">
        <f>'[1]p11'!$J$165</f>
        <v>0</v>
      </c>
      <c r="P69" s="450"/>
      <c r="Q69" s="459"/>
      <c r="R69" s="459"/>
    </row>
    <row r="70" spans="1:18" ht="12.75">
      <c r="A70" s="38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459"/>
      <c r="R70" s="459"/>
    </row>
    <row r="71" spans="1:19" s="46" customFormat="1" ht="11.25" customHeight="1">
      <c r="A71" s="382" t="str">
        <f>T('[1]p12'!$C$13:$G$13)</f>
        <v>Daniel Cordeiro de Morais Filho</v>
      </c>
      <c r="B71" s="381"/>
      <c r="C71" s="381"/>
      <c r="D71" s="381"/>
      <c r="E71" s="384"/>
      <c r="F71" s="439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59"/>
      <c r="R71" s="459"/>
      <c r="S71" s="39"/>
    </row>
    <row r="72" spans="1:18" s="3" customFormat="1" ht="13.5" customHeight="1">
      <c r="A72" s="25" t="s">
        <v>75</v>
      </c>
      <c r="B72" s="379" t="str">
        <f>IF('[1]p12'!$A$140&lt;&gt;0,'[1]p12'!$A$140,"")</f>
        <v>Estudos em EDP Elípticas</v>
      </c>
      <c r="C72" s="379"/>
      <c r="D72" s="379"/>
      <c r="E72" s="379"/>
      <c r="F72" s="379"/>
      <c r="G72" s="379"/>
      <c r="H72" s="379"/>
      <c r="I72" s="380"/>
      <c r="J72" s="382" t="s">
        <v>234</v>
      </c>
      <c r="K72" s="381"/>
      <c r="L72" s="111" t="str">
        <f>IF('[1]p12'!$I$140&lt;&gt;0,'[1]p12'!$I$140,"")</f>
        <v>CNPq</v>
      </c>
      <c r="M72" s="61" t="s">
        <v>233</v>
      </c>
      <c r="N72" s="457" t="str">
        <f>IF('[1]p12'!$K$140&lt;&gt;0,'[1]p12'!$K$140,"")</f>
        <v>Em andamento</v>
      </c>
      <c r="O72" s="457"/>
      <c r="P72" s="458"/>
      <c r="Q72" s="459"/>
      <c r="R72" s="459"/>
    </row>
    <row r="73" spans="1:18" s="3" customFormat="1" ht="13.5" customHeight="1">
      <c r="A73" s="25" t="s">
        <v>86</v>
      </c>
      <c r="B73" s="443" t="str">
        <f>IF('[1]p12'!$H$142&lt;&gt;0,'[1]p12'!$H$142,"")</f>
        <v>Coordenador</v>
      </c>
      <c r="C73" s="444"/>
      <c r="D73" s="451" t="s">
        <v>235</v>
      </c>
      <c r="E73" s="452"/>
      <c r="F73" s="453">
        <f>IF('[1]p12'!$A$142&lt;&gt;0,'[1]p12'!$A$142,"")</f>
      </c>
      <c r="G73" s="453"/>
      <c r="H73" s="453"/>
      <c r="I73" s="453"/>
      <c r="J73" s="454"/>
      <c r="K73" s="25" t="s">
        <v>73</v>
      </c>
      <c r="L73" s="455">
        <f>IF('[1]p12'!$J$142&lt;&gt;0,'[1]p12'!$J$142,"")</f>
        <v>38777</v>
      </c>
      <c r="M73" s="456"/>
      <c r="N73" s="25" t="s">
        <v>74</v>
      </c>
      <c r="O73" s="455">
        <f>IF('[1]p12'!$K$142&lt;&gt;0,'[1]p12'!$K$142,"")</f>
      </c>
      <c r="P73" s="456"/>
      <c r="Q73" s="459"/>
      <c r="R73" s="459"/>
    </row>
    <row r="74" spans="1:18" ht="12.75">
      <c r="A74" s="382" t="s">
        <v>236</v>
      </c>
      <c r="B74" s="381"/>
      <c r="C74" s="381"/>
      <c r="D74" s="449">
        <f>'[1]p12'!$A$144</f>
        <v>0</v>
      </c>
      <c r="E74" s="450"/>
      <c r="F74" s="382" t="s">
        <v>237</v>
      </c>
      <c r="G74" s="381"/>
      <c r="H74" s="449">
        <f>'[1]p12'!$D$144</f>
        <v>0</v>
      </c>
      <c r="I74" s="450"/>
      <c r="J74" s="382" t="s">
        <v>238</v>
      </c>
      <c r="K74" s="381"/>
      <c r="L74" s="449">
        <f>'[1]p12'!$G$144</f>
        <v>0</v>
      </c>
      <c r="M74" s="450"/>
      <c r="N74" s="112" t="s">
        <v>239</v>
      </c>
      <c r="O74" s="449">
        <f>'[1]p12'!$J$144</f>
        <v>0</v>
      </c>
      <c r="P74" s="450"/>
      <c r="Q74" s="459"/>
      <c r="R74" s="459"/>
    </row>
    <row r="75" spans="1:18" ht="12.75">
      <c r="A75" s="383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459"/>
      <c r="R75" s="459"/>
    </row>
    <row r="76" spans="1:18" s="3" customFormat="1" ht="13.5" customHeight="1">
      <c r="A76" s="25" t="s">
        <v>75</v>
      </c>
      <c r="B76" s="379" t="str">
        <f>IF('[1]p12'!$A$147&lt;&gt;0,'[1]p12'!$A$147,"")</f>
        <v>Projeto Universal CNPq </v>
      </c>
      <c r="C76" s="379"/>
      <c r="D76" s="379"/>
      <c r="E76" s="379"/>
      <c r="F76" s="379"/>
      <c r="G76" s="379"/>
      <c r="H76" s="379"/>
      <c r="I76" s="380"/>
      <c r="J76" s="382" t="s">
        <v>234</v>
      </c>
      <c r="K76" s="381"/>
      <c r="L76" s="111" t="str">
        <f>IF('[1]p12'!$I$147&lt;&gt;0,'[1]p12'!$I$147,"")</f>
        <v>CNPq</v>
      </c>
      <c r="M76" s="61" t="s">
        <v>233</v>
      </c>
      <c r="N76" s="457" t="str">
        <f>IF('[1]p12'!$K$147&lt;&gt;0,'[1]p12'!$K$147,"")</f>
        <v>Em andamento</v>
      </c>
      <c r="O76" s="457"/>
      <c r="P76" s="458"/>
      <c r="Q76" s="459"/>
      <c r="R76" s="459"/>
    </row>
    <row r="77" spans="1:18" s="3" customFormat="1" ht="13.5" customHeight="1">
      <c r="A77" s="25" t="s">
        <v>86</v>
      </c>
      <c r="B77" s="443" t="str">
        <f>IF('[1]p12'!$H$149&lt;&gt;0,'[1]p12'!$H$149,"")</f>
        <v>Coordenador</v>
      </c>
      <c r="C77" s="444"/>
      <c r="D77" s="451" t="s">
        <v>235</v>
      </c>
      <c r="E77" s="452"/>
      <c r="F77" s="453" t="str">
        <f>IF('[1]p12'!$A$149&lt;&gt;0,'[1]p12'!$A$149,"")</f>
        <v>Análise/EDP</v>
      </c>
      <c r="G77" s="453"/>
      <c r="H77" s="453"/>
      <c r="I77" s="453"/>
      <c r="J77" s="454"/>
      <c r="K77" s="25" t="s">
        <v>73</v>
      </c>
      <c r="L77" s="455">
        <f>IF('[1]p12'!$J$149&lt;&gt;0,'[1]p12'!$J$149,"")</f>
        <v>39114</v>
      </c>
      <c r="M77" s="456"/>
      <c r="N77" s="25" t="s">
        <v>74</v>
      </c>
      <c r="O77" s="455">
        <f>IF('[1]p12'!$K$149&lt;&gt;0,'[1]p12'!$K$149,"")</f>
        <v>39844</v>
      </c>
      <c r="P77" s="456"/>
      <c r="Q77" s="459"/>
      <c r="R77" s="459"/>
    </row>
    <row r="78" spans="1:18" ht="12.75">
      <c r="A78" s="382" t="s">
        <v>236</v>
      </c>
      <c r="B78" s="381"/>
      <c r="C78" s="381"/>
      <c r="D78" s="449">
        <f>'[1]p12'!$A$151</f>
        <v>17634</v>
      </c>
      <c r="E78" s="450"/>
      <c r="F78" s="382" t="s">
        <v>240</v>
      </c>
      <c r="G78" s="381"/>
      <c r="H78" s="449">
        <f>'[1]p12'!$D$151</f>
        <v>17634</v>
      </c>
      <c r="I78" s="450"/>
      <c r="J78" s="382" t="s">
        <v>238</v>
      </c>
      <c r="K78" s="381"/>
      <c r="L78" s="449">
        <f>'[1]p12'!$G$151</f>
        <v>10334</v>
      </c>
      <c r="M78" s="450"/>
      <c r="N78" s="112" t="s">
        <v>239</v>
      </c>
      <c r="O78" s="449">
        <f>'[1]p12'!$J$151</f>
        <v>7300</v>
      </c>
      <c r="P78" s="450"/>
      <c r="Q78" s="459"/>
      <c r="R78" s="459"/>
    </row>
    <row r="79" spans="1:18" ht="12.75">
      <c r="A79" s="383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459"/>
      <c r="R79" s="459"/>
    </row>
    <row r="80" spans="1:18" s="3" customFormat="1" ht="13.5" customHeight="1">
      <c r="A80" s="25" t="s">
        <v>75</v>
      </c>
      <c r="B80" s="379" t="str">
        <f>IF('[1]p12'!$A$161&lt;&gt;0,'[1]p12'!$A$161,"")</f>
        <v>Equações Dif.  Aplicadas e Álgebra com Identidades Polinomiais (Casadinho, Proc.620025/2006-9)</v>
      </c>
      <c r="C80" s="379"/>
      <c r="D80" s="379"/>
      <c r="E80" s="379"/>
      <c r="F80" s="379"/>
      <c r="G80" s="379"/>
      <c r="H80" s="379"/>
      <c r="I80" s="380"/>
      <c r="J80" s="382" t="s">
        <v>234</v>
      </c>
      <c r="K80" s="381"/>
      <c r="L80" s="111" t="str">
        <f>IF('[1]p12'!$I$161&lt;&gt;0,'[1]p12'!$I$161,"")</f>
        <v>CNPq</v>
      </c>
      <c r="M80" s="61" t="s">
        <v>233</v>
      </c>
      <c r="N80" s="457" t="str">
        <f>IF('[1]p12'!$K$161&lt;&gt;0,'[1]p12'!$K$161,"")</f>
        <v>Em andamento</v>
      </c>
      <c r="O80" s="457"/>
      <c r="P80" s="458"/>
      <c r="Q80" s="459"/>
      <c r="R80" s="459"/>
    </row>
    <row r="81" spans="1:18" s="3" customFormat="1" ht="13.5" customHeight="1">
      <c r="A81" s="25" t="s">
        <v>86</v>
      </c>
      <c r="B81" s="443" t="str">
        <f>IF('[1]p12'!$H$163&lt;&gt;0,'[1]p12'!$H$163,"")</f>
        <v>Participante</v>
      </c>
      <c r="C81" s="444"/>
      <c r="D81" s="451" t="s">
        <v>235</v>
      </c>
      <c r="E81" s="452"/>
      <c r="F81" s="453" t="str">
        <f>IF('[1]p12'!$A$163&lt;&gt;0,'[1]p12'!$A$163,"")</f>
        <v>Análise/Equações Diferenciais Parciais</v>
      </c>
      <c r="G81" s="453"/>
      <c r="H81" s="453"/>
      <c r="I81" s="453"/>
      <c r="J81" s="454"/>
      <c r="K81" s="25" t="s">
        <v>73</v>
      </c>
      <c r="L81" s="455">
        <f>IF('[1]p12'!$J$163&lt;&gt;0,'[1]p12'!$J$163,"")</f>
        <v>39144</v>
      </c>
      <c r="M81" s="456"/>
      <c r="N81" s="25" t="s">
        <v>74</v>
      </c>
      <c r="O81" s="455">
        <f>IF('[1]p12'!$K$163&lt;&gt;0,'[1]p12'!$K$163,"")</f>
        <v>39874</v>
      </c>
      <c r="P81" s="456"/>
      <c r="Q81" s="459"/>
      <c r="R81" s="459"/>
    </row>
    <row r="82" spans="1:18" ht="12.75">
      <c r="A82" s="382" t="s">
        <v>236</v>
      </c>
      <c r="B82" s="381"/>
      <c r="C82" s="381"/>
      <c r="D82" s="449">
        <f>'[1]p12'!$A$165</f>
        <v>0</v>
      </c>
      <c r="E82" s="450"/>
      <c r="F82" s="382" t="s">
        <v>240</v>
      </c>
      <c r="G82" s="381"/>
      <c r="H82" s="449">
        <f>'[1]p12'!$D$165</f>
        <v>0</v>
      </c>
      <c r="I82" s="450"/>
      <c r="J82" s="382" t="s">
        <v>238</v>
      </c>
      <c r="K82" s="381"/>
      <c r="L82" s="449">
        <f>'[1]p12'!$G$165</f>
        <v>0</v>
      </c>
      <c r="M82" s="450"/>
      <c r="N82" s="112" t="s">
        <v>239</v>
      </c>
      <c r="O82" s="449">
        <f>'[1]p12'!$J$165</f>
        <v>0</v>
      </c>
      <c r="P82" s="450"/>
      <c r="Q82" s="459"/>
      <c r="R82" s="459"/>
    </row>
    <row r="83" spans="1:18" ht="12.75">
      <c r="A83" s="383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459"/>
      <c r="R83" s="459"/>
    </row>
    <row r="84" spans="1:18" ht="12.75">
      <c r="A84" s="383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459"/>
      <c r="R84" s="459"/>
    </row>
    <row r="85" spans="1:19" s="46" customFormat="1" ht="11.25" customHeight="1">
      <c r="A85" s="382" t="str">
        <f>T('[1]p14'!$C$13:$G$13)</f>
        <v>Francisco Antônio Morais de Souza</v>
      </c>
      <c r="B85" s="381"/>
      <c r="C85" s="381"/>
      <c r="D85" s="381"/>
      <c r="E85" s="384"/>
      <c r="F85" s="439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59"/>
      <c r="R85" s="459"/>
      <c r="S85" s="39"/>
    </row>
    <row r="86" spans="1:18" s="3" customFormat="1" ht="13.5" customHeight="1">
      <c r="A86" s="25" t="s">
        <v>75</v>
      </c>
      <c r="B86" s="379" t="str">
        <f>IF('[1]p14'!$A$140&lt;&gt;0,'[1]p14'!$A$140,"")</f>
        <v>Diagnóstico em Modelos de Regressão</v>
      </c>
      <c r="C86" s="379"/>
      <c r="D86" s="379"/>
      <c r="E86" s="379"/>
      <c r="F86" s="379"/>
      <c r="G86" s="379"/>
      <c r="H86" s="379"/>
      <c r="I86" s="380"/>
      <c r="J86" s="382" t="s">
        <v>234</v>
      </c>
      <c r="K86" s="381"/>
      <c r="L86" s="111" t="str">
        <f>IF('[1]p14'!$I$140&lt;&gt;0,'[1]p14'!$I$140,"")</f>
        <v>Não há</v>
      </c>
      <c r="M86" s="61" t="s">
        <v>233</v>
      </c>
      <c r="N86" s="457" t="str">
        <f>IF('[1]p14'!$K$140&lt;&gt;0,'[1]p14'!$K$140,"")</f>
        <v>Em andamento</v>
      </c>
      <c r="O86" s="457"/>
      <c r="P86" s="458"/>
      <c r="Q86" s="459"/>
      <c r="R86" s="459"/>
    </row>
    <row r="87" spans="1:18" s="3" customFormat="1" ht="13.5" customHeight="1">
      <c r="A87" s="25" t="s">
        <v>86</v>
      </c>
      <c r="B87" s="443" t="str">
        <f>IF('[1]p14'!$H$142&lt;&gt;0,'[1]p14'!$H$142,"")</f>
        <v>Coordenador</v>
      </c>
      <c r="C87" s="444"/>
      <c r="D87" s="451" t="s">
        <v>235</v>
      </c>
      <c r="E87" s="452"/>
      <c r="F87" s="453" t="str">
        <f>IF('[1]p14'!$A$142&lt;&gt;0,'[1]p14'!$A$142,"")</f>
        <v>Métodos Estatísticos</v>
      </c>
      <c r="G87" s="453"/>
      <c r="H87" s="453"/>
      <c r="I87" s="453"/>
      <c r="J87" s="454"/>
      <c r="K87" s="25" t="s">
        <v>73</v>
      </c>
      <c r="L87" s="455">
        <f>IF('[1]p14'!$J$142&lt;&gt;0,'[1]p14'!$J$142,"")</f>
        <v>36163</v>
      </c>
      <c r="M87" s="456"/>
      <c r="N87" s="25" t="s">
        <v>74</v>
      </c>
      <c r="O87" s="455">
        <f>IF('[1]p14'!$K$142&lt;&gt;0,'[1]p14'!$K$142,"")</f>
      </c>
      <c r="P87" s="456"/>
      <c r="Q87" s="459"/>
      <c r="R87" s="459"/>
    </row>
    <row r="88" spans="1:18" ht="12.75">
      <c r="A88" s="382" t="s">
        <v>236</v>
      </c>
      <c r="B88" s="381"/>
      <c r="C88" s="381"/>
      <c r="D88" s="449">
        <f>'[1]p14'!$A$144</f>
        <v>0</v>
      </c>
      <c r="E88" s="450"/>
      <c r="F88" s="382" t="s">
        <v>237</v>
      </c>
      <c r="G88" s="381"/>
      <c r="H88" s="449">
        <f>'[1]p14'!$D$144</f>
        <v>0</v>
      </c>
      <c r="I88" s="450"/>
      <c r="J88" s="382" t="s">
        <v>238</v>
      </c>
      <c r="K88" s="381"/>
      <c r="L88" s="449">
        <f>'[1]p14'!$G$144</f>
        <v>0</v>
      </c>
      <c r="M88" s="450"/>
      <c r="N88" s="112" t="s">
        <v>239</v>
      </c>
      <c r="O88" s="449">
        <f>'[1]p14'!$J$144</f>
        <v>0</v>
      </c>
      <c r="P88" s="450"/>
      <c r="Q88" s="459"/>
      <c r="R88" s="459"/>
    </row>
    <row r="89" spans="1:18" ht="12.75">
      <c r="A89" s="383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459"/>
      <c r="R89" s="459"/>
    </row>
    <row r="90" spans="1:18" s="3" customFormat="1" ht="13.5" customHeight="1">
      <c r="A90" s="25" t="s">
        <v>75</v>
      </c>
      <c r="B90" s="379" t="str">
        <f>IF('[1]p14'!$A$147&lt;&gt;0,'[1]p14'!$A$147,"")</f>
        <v>Programa Interdepartamental de Tecnologia em Petróleo e Gás - PRH-25/ANP</v>
      </c>
      <c r="C90" s="379"/>
      <c r="D90" s="379"/>
      <c r="E90" s="379"/>
      <c r="F90" s="379"/>
      <c r="G90" s="379"/>
      <c r="H90" s="379"/>
      <c r="I90" s="380"/>
      <c r="J90" s="382" t="s">
        <v>234</v>
      </c>
      <c r="K90" s="381"/>
      <c r="L90" s="111" t="str">
        <f>IF('[1]p14'!$I$147&lt;&gt;0,'[1]p14'!$I$147,"")</f>
        <v>ANP</v>
      </c>
      <c r="M90" s="61" t="s">
        <v>233</v>
      </c>
      <c r="N90" s="457" t="str">
        <f>IF('[1]p14'!$K$147&lt;&gt;0,'[1]p14'!$K$147,"")</f>
        <v>Em andamento</v>
      </c>
      <c r="O90" s="457"/>
      <c r="P90" s="458"/>
      <c r="Q90" s="459"/>
      <c r="R90" s="459"/>
    </row>
    <row r="91" spans="1:18" s="3" customFormat="1" ht="13.5" customHeight="1">
      <c r="A91" s="25" t="s">
        <v>86</v>
      </c>
      <c r="B91" s="443" t="str">
        <f>IF('[1]p14'!$H$149&lt;&gt;0,'[1]p14'!$H$149,"")</f>
        <v>Coordenador</v>
      </c>
      <c r="C91" s="444"/>
      <c r="D91" s="451" t="s">
        <v>235</v>
      </c>
      <c r="E91" s="452"/>
      <c r="F91" s="453" t="str">
        <f>IF('[1]p14'!$A$149&lt;&gt;0,'[1]p14'!$A$149,"")</f>
        <v>Tecnologia em Petróleo&amp;Gás</v>
      </c>
      <c r="G91" s="453"/>
      <c r="H91" s="453"/>
      <c r="I91" s="453"/>
      <c r="J91" s="454"/>
      <c r="K91" s="25" t="s">
        <v>73</v>
      </c>
      <c r="L91" s="455">
        <f>IF('[1]p14'!$J$149&lt;&gt;0,'[1]p14'!$J$149,"")</f>
        <v>36528</v>
      </c>
      <c r="M91" s="456"/>
      <c r="N91" s="25" t="s">
        <v>74</v>
      </c>
      <c r="O91" s="455">
        <f>IF('[1]p14'!$K$149&lt;&gt;0,'[1]p14'!$K$149,"")</f>
      </c>
      <c r="P91" s="456"/>
      <c r="Q91" s="459"/>
      <c r="R91" s="459"/>
    </row>
    <row r="92" spans="1:18" ht="12.75">
      <c r="A92" s="382" t="s">
        <v>236</v>
      </c>
      <c r="B92" s="381"/>
      <c r="C92" s="381"/>
      <c r="D92" s="449">
        <f>'[1]p14'!$A$151</f>
        <v>0</v>
      </c>
      <c r="E92" s="450"/>
      <c r="F92" s="382" t="s">
        <v>240</v>
      </c>
      <c r="G92" s="381"/>
      <c r="H92" s="449">
        <f>'[1]p14'!$D$151</f>
        <v>0</v>
      </c>
      <c r="I92" s="450"/>
      <c r="J92" s="382" t="s">
        <v>238</v>
      </c>
      <c r="K92" s="381"/>
      <c r="L92" s="449">
        <f>'[1]p14'!$G$151</f>
        <v>0</v>
      </c>
      <c r="M92" s="450"/>
      <c r="N92" s="112" t="s">
        <v>239</v>
      </c>
      <c r="O92" s="449">
        <f>'[1]p14'!$J$151</f>
        <v>0</v>
      </c>
      <c r="P92" s="450"/>
      <c r="Q92" s="459"/>
      <c r="R92" s="459"/>
    </row>
    <row r="93" spans="1:18" ht="12.75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459"/>
      <c r="R93" s="459"/>
    </row>
    <row r="94" spans="1:19" s="46" customFormat="1" ht="11.25" customHeight="1">
      <c r="A94" s="382" t="str">
        <f>T('[1]p15'!$C$13:$G$13)</f>
        <v>Francisco Júlio Sobreira de A. Corrêa</v>
      </c>
      <c r="B94" s="381"/>
      <c r="C94" s="381"/>
      <c r="D94" s="381"/>
      <c r="E94" s="384"/>
      <c r="F94" s="439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59"/>
      <c r="R94" s="459"/>
      <c r="S94" s="39"/>
    </row>
    <row r="95" spans="1:18" s="3" customFormat="1" ht="13.5" customHeight="1">
      <c r="A95" s="25" t="s">
        <v>75</v>
      </c>
      <c r="B95" s="379" t="str">
        <f>IF('[1]p15'!$A$140&lt;&gt;0,'[1]p15'!$A$140,"")</f>
        <v>Existência e Multiplicidade de Soluções de Problemas Elípticos Não-Locais, Singulares e Descontínuos</v>
      </c>
      <c r="C95" s="379"/>
      <c r="D95" s="379"/>
      <c r="E95" s="379"/>
      <c r="F95" s="379"/>
      <c r="G95" s="379"/>
      <c r="H95" s="379"/>
      <c r="I95" s="380"/>
      <c r="J95" s="382" t="s">
        <v>234</v>
      </c>
      <c r="K95" s="381"/>
      <c r="L95" s="111" t="str">
        <f>IF('[1]p15'!$I$140&lt;&gt;0,'[1]p15'!$I$140,"")</f>
        <v>CNPq</v>
      </c>
      <c r="M95" s="61" t="s">
        <v>233</v>
      </c>
      <c r="N95" s="457" t="str">
        <f>IF('[1]p15'!$K$140&lt;&gt;0,'[1]p15'!$K$140,"")</f>
        <v>Em andamento</v>
      </c>
      <c r="O95" s="457"/>
      <c r="P95" s="458"/>
      <c r="Q95" s="459"/>
      <c r="R95" s="459"/>
    </row>
    <row r="96" spans="1:18" s="3" customFormat="1" ht="13.5" customHeight="1">
      <c r="A96" s="25" t="s">
        <v>86</v>
      </c>
      <c r="B96" s="443" t="str">
        <f>IF('[1]p15'!$H$142&lt;&gt;0,'[1]p15'!$H$142,"")</f>
        <v>Coordenador</v>
      </c>
      <c r="C96" s="444"/>
      <c r="D96" s="451" t="s">
        <v>235</v>
      </c>
      <c r="E96" s="452"/>
      <c r="F96" s="453" t="str">
        <f>IF('[1]p15'!$A$142&lt;&gt;0,'[1]p15'!$A$142,"")</f>
        <v>Equações Diferenciais Parciais Elípticas</v>
      </c>
      <c r="G96" s="453"/>
      <c r="H96" s="453"/>
      <c r="I96" s="453"/>
      <c r="J96" s="454"/>
      <c r="K96" s="25" t="s">
        <v>73</v>
      </c>
      <c r="L96" s="455">
        <f>IF('[1]p15'!$J$142&lt;&gt;0,'[1]p15'!$J$142,"")</f>
        <v>39372</v>
      </c>
      <c r="M96" s="456"/>
      <c r="N96" s="25" t="s">
        <v>74</v>
      </c>
      <c r="O96" s="455">
        <f>IF('[1]p15'!$K$142&lt;&gt;0,'[1]p15'!$K$142,"")</f>
      </c>
      <c r="P96" s="456"/>
      <c r="Q96" s="459"/>
      <c r="R96" s="459"/>
    </row>
    <row r="97" spans="1:18" ht="12.75">
      <c r="A97" s="382" t="s">
        <v>236</v>
      </c>
      <c r="B97" s="381"/>
      <c r="C97" s="381"/>
      <c r="D97" s="449">
        <f>'[1]p15'!$A$144</f>
        <v>0</v>
      </c>
      <c r="E97" s="450"/>
      <c r="F97" s="382" t="s">
        <v>237</v>
      </c>
      <c r="G97" s="381"/>
      <c r="H97" s="449">
        <f>'[1]p15'!$D$144</f>
        <v>0</v>
      </c>
      <c r="I97" s="450"/>
      <c r="J97" s="382" t="s">
        <v>238</v>
      </c>
      <c r="K97" s="381"/>
      <c r="L97" s="449">
        <f>'[1]p15'!$G$144</f>
        <v>0</v>
      </c>
      <c r="M97" s="450"/>
      <c r="N97" s="112" t="s">
        <v>239</v>
      </c>
      <c r="O97" s="449">
        <f>'[1]p15'!$J$144</f>
        <v>0</v>
      </c>
      <c r="P97" s="450"/>
      <c r="Q97" s="459"/>
      <c r="R97" s="459"/>
    </row>
    <row r="98" spans="1:18" ht="12.75">
      <c r="A98" s="383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459"/>
      <c r="R98" s="459"/>
    </row>
    <row r="99" spans="1:19" s="46" customFormat="1" ht="11.25" customHeight="1">
      <c r="A99" s="382" t="str">
        <f>T('[1]p17'!$C$13:$G$13)</f>
        <v>Henrique Fernandes de Lima</v>
      </c>
      <c r="B99" s="381"/>
      <c r="C99" s="381"/>
      <c r="D99" s="381"/>
      <c r="E99" s="384"/>
      <c r="F99" s="439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59"/>
      <c r="R99" s="459"/>
      <c r="S99" s="39"/>
    </row>
    <row r="100" spans="1:18" s="3" customFormat="1" ht="13.5" customHeight="1">
      <c r="A100" s="25" t="s">
        <v>75</v>
      </c>
      <c r="B100" s="379" t="str">
        <f>IF('[1]p17'!$A$140&lt;&gt;0,'[1]p17'!$A$140,"")</f>
        <v>Classificaçao de Hipersuperficies em Variedades Riemannianas</v>
      </c>
      <c r="C100" s="379"/>
      <c r="D100" s="379"/>
      <c r="E100" s="379"/>
      <c r="F100" s="379"/>
      <c r="G100" s="379"/>
      <c r="H100" s="379"/>
      <c r="I100" s="380"/>
      <c r="J100" s="382" t="s">
        <v>234</v>
      </c>
      <c r="K100" s="381"/>
      <c r="L100" s="111">
        <f>IF('[1]p17'!$I$140&lt;&gt;0,'[1]p17'!$I$140,"")</f>
      </c>
      <c r="M100" s="61" t="s">
        <v>233</v>
      </c>
      <c r="N100" s="457" t="str">
        <f>IF('[1]p17'!$K$140&lt;&gt;0,'[1]p17'!$K$140,"")</f>
        <v>Em andamento</v>
      </c>
      <c r="O100" s="457"/>
      <c r="P100" s="458"/>
      <c r="Q100" s="459"/>
      <c r="R100" s="459"/>
    </row>
    <row r="101" spans="1:18" s="3" customFormat="1" ht="13.5" customHeight="1">
      <c r="A101" s="25" t="s">
        <v>86</v>
      </c>
      <c r="B101" s="443" t="str">
        <f>IF('[1]p17'!$H$142&lt;&gt;0,'[1]p17'!$H$142,"")</f>
        <v>Coordenador</v>
      </c>
      <c r="C101" s="444"/>
      <c r="D101" s="451" t="s">
        <v>235</v>
      </c>
      <c r="E101" s="452"/>
      <c r="F101" s="453" t="str">
        <f>IF('[1]p17'!$A$142&lt;&gt;0,'[1]p17'!$A$142,"")</f>
        <v>Geometria Diferencial</v>
      </c>
      <c r="G101" s="453"/>
      <c r="H101" s="453"/>
      <c r="I101" s="453"/>
      <c r="J101" s="454"/>
      <c r="K101" s="25" t="s">
        <v>73</v>
      </c>
      <c r="L101" s="455">
        <f>IF('[1]p17'!$J$142&lt;&gt;0,'[1]p17'!$J$142,"")</f>
        <v>39167</v>
      </c>
      <c r="M101" s="456"/>
      <c r="N101" s="25" t="s">
        <v>74</v>
      </c>
      <c r="O101" s="455">
        <f>IF('[1]p17'!$K$142&lt;&gt;0,'[1]p17'!$K$142,"")</f>
      </c>
      <c r="P101" s="456"/>
      <c r="Q101" s="459"/>
      <c r="R101" s="459"/>
    </row>
    <row r="102" spans="1:18" ht="12.75">
      <c r="A102" s="382" t="s">
        <v>236</v>
      </c>
      <c r="B102" s="381"/>
      <c r="C102" s="381"/>
      <c r="D102" s="449">
        <f>'[1]p17'!$A$144</f>
        <v>0</v>
      </c>
      <c r="E102" s="450"/>
      <c r="F102" s="382" t="s">
        <v>237</v>
      </c>
      <c r="G102" s="381"/>
      <c r="H102" s="449">
        <f>'[1]p17'!$D$144</f>
        <v>0</v>
      </c>
      <c r="I102" s="450"/>
      <c r="J102" s="382" t="s">
        <v>238</v>
      </c>
      <c r="K102" s="381"/>
      <c r="L102" s="449">
        <f>'[1]p17'!$G$144</f>
        <v>0</v>
      </c>
      <c r="M102" s="450"/>
      <c r="N102" s="112" t="s">
        <v>239</v>
      </c>
      <c r="O102" s="449">
        <f>'[1]p17'!$J$144</f>
        <v>0</v>
      </c>
      <c r="P102" s="450"/>
      <c r="Q102" s="459"/>
      <c r="R102" s="459"/>
    </row>
    <row r="103" spans="1:18" ht="12.75">
      <c r="A103" s="383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459"/>
      <c r="R103" s="459"/>
    </row>
    <row r="104" spans="1:18" s="3" customFormat="1" ht="13.5" customHeight="1">
      <c r="A104" s="25" t="s">
        <v>75</v>
      </c>
      <c r="B104" s="379" t="str">
        <f>IF('[1]p17'!$A$147&lt;&gt;0,'[1]p17'!$A$147,"")</f>
        <v>Hipersuperficies em Variedades de Lorentz</v>
      </c>
      <c r="C104" s="379"/>
      <c r="D104" s="379"/>
      <c r="E104" s="379"/>
      <c r="F104" s="379"/>
      <c r="G104" s="379"/>
      <c r="H104" s="379"/>
      <c r="I104" s="380"/>
      <c r="J104" s="382" t="s">
        <v>234</v>
      </c>
      <c r="K104" s="381"/>
      <c r="L104" s="111">
        <f>IF('[1]p17'!$I$147&lt;&gt;0,'[1]p17'!$I$147,"")</f>
      </c>
      <c r="M104" s="61" t="s">
        <v>233</v>
      </c>
      <c r="N104" s="457" t="str">
        <f>IF('[1]p17'!$K$147&lt;&gt;0,'[1]p17'!$K$147,"")</f>
        <v>Em andamento</v>
      </c>
      <c r="O104" s="457"/>
      <c r="P104" s="458"/>
      <c r="Q104" s="459"/>
      <c r="R104" s="459"/>
    </row>
    <row r="105" spans="1:18" s="3" customFormat="1" ht="13.5" customHeight="1">
      <c r="A105" s="25" t="s">
        <v>86</v>
      </c>
      <c r="B105" s="443" t="str">
        <f>IF('[1]p17'!$H$149&lt;&gt;0,'[1]p17'!$H$149,"")</f>
        <v>Coordenador</v>
      </c>
      <c r="C105" s="444"/>
      <c r="D105" s="451" t="s">
        <v>235</v>
      </c>
      <c r="E105" s="452"/>
      <c r="F105" s="453" t="str">
        <f>IF('[1]p17'!$A$149&lt;&gt;0,'[1]p17'!$A$149,"")</f>
        <v>Geometria Diferencial</v>
      </c>
      <c r="G105" s="453"/>
      <c r="H105" s="453"/>
      <c r="I105" s="453"/>
      <c r="J105" s="454"/>
      <c r="K105" s="25" t="s">
        <v>73</v>
      </c>
      <c r="L105" s="455">
        <f>IF('[1]p17'!$J$149&lt;&gt;0,'[1]p17'!$J$149,"")</f>
        <v>39167</v>
      </c>
      <c r="M105" s="456"/>
      <c r="N105" s="25" t="s">
        <v>74</v>
      </c>
      <c r="O105" s="455">
        <f>IF('[1]p17'!$K$149&lt;&gt;0,'[1]p17'!$K$149,"")</f>
      </c>
      <c r="P105" s="456"/>
      <c r="Q105" s="459"/>
      <c r="R105" s="459"/>
    </row>
    <row r="106" spans="1:18" ht="12.75">
      <c r="A106" s="382" t="s">
        <v>236</v>
      </c>
      <c r="B106" s="381"/>
      <c r="C106" s="381"/>
      <c r="D106" s="449">
        <f>'[1]p17'!$A$151</f>
        <v>0</v>
      </c>
      <c r="E106" s="450"/>
      <c r="F106" s="382" t="s">
        <v>240</v>
      </c>
      <c r="G106" s="381"/>
      <c r="H106" s="449">
        <f>'[1]p17'!$D$151</f>
        <v>0</v>
      </c>
      <c r="I106" s="450"/>
      <c r="J106" s="382" t="s">
        <v>238</v>
      </c>
      <c r="K106" s="381"/>
      <c r="L106" s="449">
        <f>'[1]p17'!$G$151</f>
        <v>0</v>
      </c>
      <c r="M106" s="450"/>
      <c r="N106" s="112" t="s">
        <v>239</v>
      </c>
      <c r="O106" s="449">
        <f>'[1]p17'!$J$151</f>
        <v>0</v>
      </c>
      <c r="P106" s="450"/>
      <c r="Q106" s="459"/>
      <c r="R106" s="459"/>
    </row>
    <row r="107" spans="1:18" s="3" customFormat="1" ht="13.5" customHeight="1">
      <c r="A107" s="25" t="s">
        <v>75</v>
      </c>
      <c r="B107" s="379" t="str">
        <f>IF('[1]p17'!$A$154&lt;&gt;0,'[1]p17'!$A$154,"")</f>
        <v>Propriedades das Curvaturas de Ordem Superior de Hipersuperfícies Tipo-Espaço</v>
      </c>
      <c r="C107" s="379"/>
      <c r="D107" s="379"/>
      <c r="E107" s="379"/>
      <c r="F107" s="379"/>
      <c r="G107" s="379"/>
      <c r="H107" s="379"/>
      <c r="I107" s="380"/>
      <c r="J107" s="382" t="s">
        <v>234</v>
      </c>
      <c r="K107" s="381"/>
      <c r="L107" s="111" t="str">
        <f>IF('[1]p17'!$I$154&lt;&gt;0,'[1]p17'!$I$154,"")</f>
        <v>FAPESQ</v>
      </c>
      <c r="M107" s="61" t="s">
        <v>233</v>
      </c>
      <c r="N107" s="457" t="str">
        <f>IF('[1]p17'!$K$154&lt;&gt;0,'[1]p17'!$K$154,"")</f>
        <v>Em andamento</v>
      </c>
      <c r="O107" s="457"/>
      <c r="P107" s="458"/>
      <c r="Q107" s="459"/>
      <c r="R107" s="459"/>
    </row>
    <row r="108" spans="1:18" s="3" customFormat="1" ht="13.5" customHeight="1">
      <c r="A108" s="25" t="s">
        <v>86</v>
      </c>
      <c r="B108" s="443" t="str">
        <f>IF('[1]p17'!$H$156&lt;&gt;0,'[1]p17'!$H$156,"")</f>
        <v>Coordenador</v>
      </c>
      <c r="C108" s="444"/>
      <c r="D108" s="451" t="s">
        <v>235</v>
      </c>
      <c r="E108" s="452"/>
      <c r="F108" s="453" t="str">
        <f>IF('[1]p17'!$A$156&lt;&gt;0,'[1]p17'!$A$156,"")</f>
        <v>Geometria Diferencial</v>
      </c>
      <c r="G108" s="453"/>
      <c r="H108" s="453"/>
      <c r="I108" s="453"/>
      <c r="J108" s="454"/>
      <c r="K108" s="25" t="s">
        <v>73</v>
      </c>
      <c r="L108" s="455">
        <f>IF('[1]p17'!$J$156&lt;&gt;0,'[1]p17'!$J$156,"")</f>
        <v>39630</v>
      </c>
      <c r="M108" s="456"/>
      <c r="N108" s="25" t="s">
        <v>74</v>
      </c>
      <c r="O108" s="455">
        <f>IF('[1]p17'!$K$156&lt;&gt;0,'[1]p17'!$K$156,"")</f>
      </c>
      <c r="P108" s="456"/>
      <c r="Q108" s="459"/>
      <c r="R108" s="459"/>
    </row>
    <row r="109" spans="1:18" ht="12.75">
      <c r="A109" s="382" t="s">
        <v>236</v>
      </c>
      <c r="B109" s="381"/>
      <c r="C109" s="381"/>
      <c r="D109" s="449">
        <f>'[1]p17'!$A$158</f>
        <v>0</v>
      </c>
      <c r="E109" s="450"/>
      <c r="F109" s="382" t="s">
        <v>240</v>
      </c>
      <c r="G109" s="381"/>
      <c r="H109" s="449">
        <f>'[1]p17'!$D$158</f>
        <v>0</v>
      </c>
      <c r="I109" s="450"/>
      <c r="J109" s="382" t="s">
        <v>238</v>
      </c>
      <c r="K109" s="381"/>
      <c r="L109" s="449">
        <f>'[1]p17'!$G$158</f>
        <v>0</v>
      </c>
      <c r="M109" s="450"/>
      <c r="N109" s="112" t="s">
        <v>239</v>
      </c>
      <c r="O109" s="449">
        <f>'[1]p17'!$J$158</f>
        <v>0</v>
      </c>
      <c r="P109" s="450"/>
      <c r="Q109" s="459"/>
      <c r="R109" s="459"/>
    </row>
    <row r="110" spans="1:18" ht="12.75">
      <c r="A110" s="383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459"/>
      <c r="R110" s="459"/>
    </row>
    <row r="111" spans="1:19" s="46" customFormat="1" ht="11.25" customHeight="1">
      <c r="A111" s="382" t="str">
        <f>T('[1]p20'!$C$13:$G$13)</f>
        <v>José de Arimatéia Fernandes</v>
      </c>
      <c r="B111" s="381"/>
      <c r="C111" s="381"/>
      <c r="D111" s="381"/>
      <c r="E111" s="384"/>
      <c r="F111" s="439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59"/>
      <c r="R111" s="459"/>
      <c r="S111" s="39"/>
    </row>
    <row r="112" spans="1:18" s="3" customFormat="1" ht="13.5" customHeight="1">
      <c r="A112" s="25" t="s">
        <v>75</v>
      </c>
      <c r="B112" s="379" t="str">
        <f>IF('[1]p20'!$A$147&lt;&gt;0,'[1]p20'!$A$147,"")</f>
        <v>Equações Dif.  Aplicadas e Álgebra com Identidades Polinomiais (Casadinho, Proc.620025/2006-9)</v>
      </c>
      <c r="C112" s="379"/>
      <c r="D112" s="379"/>
      <c r="E112" s="379"/>
      <c r="F112" s="379"/>
      <c r="G112" s="379"/>
      <c r="H112" s="379"/>
      <c r="I112" s="380"/>
      <c r="J112" s="382" t="s">
        <v>234</v>
      </c>
      <c r="K112" s="381"/>
      <c r="L112" s="111" t="str">
        <f>IF('[1]p20'!$I$147&lt;&gt;0,'[1]p20'!$I$147,"")</f>
        <v>CNPq</v>
      </c>
      <c r="M112" s="61" t="s">
        <v>233</v>
      </c>
      <c r="N112" s="457" t="str">
        <f>IF('[1]p20'!$K$147&lt;&gt;0,'[1]p20'!$K$147,"")</f>
        <v>Em andamento</v>
      </c>
      <c r="O112" s="457"/>
      <c r="P112" s="458"/>
      <c r="Q112" s="459"/>
      <c r="R112" s="459"/>
    </row>
    <row r="113" spans="1:18" s="3" customFormat="1" ht="13.5" customHeight="1">
      <c r="A113" s="25" t="s">
        <v>86</v>
      </c>
      <c r="B113" s="443" t="str">
        <f>IF('[1]p20'!$H$149&lt;&gt;0,'[1]p20'!$H$149,"")</f>
        <v>Participante</v>
      </c>
      <c r="C113" s="444"/>
      <c r="D113" s="451" t="s">
        <v>235</v>
      </c>
      <c r="E113" s="452"/>
      <c r="F113" s="453" t="str">
        <f>IF('[1]p20'!$A$149&lt;&gt;0,'[1]p20'!$A$149,"")</f>
        <v>Matemática</v>
      </c>
      <c r="G113" s="453"/>
      <c r="H113" s="453"/>
      <c r="I113" s="453"/>
      <c r="J113" s="454"/>
      <c r="K113" s="25" t="s">
        <v>73</v>
      </c>
      <c r="L113" s="455">
        <f>IF('[1]p20'!$J$149&lt;&gt;0,'[1]p20'!$J$149,"")</f>
        <v>39144</v>
      </c>
      <c r="M113" s="456"/>
      <c r="N113" s="25" t="s">
        <v>74</v>
      </c>
      <c r="O113" s="455">
        <f>IF('[1]p20'!$K$149&lt;&gt;0,'[1]p20'!$K$149,"")</f>
        <v>39874</v>
      </c>
      <c r="P113" s="456"/>
      <c r="Q113" s="459"/>
      <c r="R113" s="459"/>
    </row>
    <row r="114" spans="1:18" ht="12.75">
      <c r="A114" s="382" t="s">
        <v>236</v>
      </c>
      <c r="B114" s="381"/>
      <c r="C114" s="381"/>
      <c r="D114" s="449">
        <f>'[1]p20'!$A$151</f>
        <v>0</v>
      </c>
      <c r="E114" s="450"/>
      <c r="F114" s="382" t="s">
        <v>240</v>
      </c>
      <c r="G114" s="381"/>
      <c r="H114" s="449">
        <f>'[1]p20'!$D$151</f>
        <v>0</v>
      </c>
      <c r="I114" s="450"/>
      <c r="J114" s="382" t="s">
        <v>238</v>
      </c>
      <c r="K114" s="381"/>
      <c r="L114" s="449">
        <f>'[1]p20'!$G$151</f>
        <v>0</v>
      </c>
      <c r="M114" s="450"/>
      <c r="N114" s="112" t="s">
        <v>239</v>
      </c>
      <c r="O114" s="449">
        <f>'[1]p20'!$J$151</f>
        <v>0</v>
      </c>
      <c r="P114" s="450"/>
      <c r="Q114" s="459"/>
      <c r="R114" s="459"/>
    </row>
    <row r="115" spans="1:18" ht="12.75">
      <c r="A115" s="383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459"/>
      <c r="R115" s="459"/>
    </row>
    <row r="116" spans="1:18" s="3" customFormat="1" ht="13.5" customHeight="1">
      <c r="A116" s="25" t="s">
        <v>75</v>
      </c>
      <c r="B116" s="379" t="str">
        <f>IF('[1]p20'!$A$154&lt;&gt;0,'[1]p20'!$A$154,"")</f>
        <v>Projeto Universal CNPq (Coord. Prof. Daniel)</v>
      </c>
      <c r="C116" s="379"/>
      <c r="D116" s="379"/>
      <c r="E116" s="379"/>
      <c r="F116" s="379"/>
      <c r="G116" s="379"/>
      <c r="H116" s="379"/>
      <c r="I116" s="380"/>
      <c r="J116" s="382" t="s">
        <v>234</v>
      </c>
      <c r="K116" s="381"/>
      <c r="L116" s="111" t="str">
        <f>IF('[1]p20'!$I$154&lt;&gt;0,'[1]p20'!$I$154,"")</f>
        <v>CNPq</v>
      </c>
      <c r="M116" s="61" t="s">
        <v>233</v>
      </c>
      <c r="N116" s="457" t="str">
        <f>IF('[1]p20'!$K$154&lt;&gt;0,'[1]p20'!$K$154,"")</f>
        <v>Em andamento</v>
      </c>
      <c r="O116" s="457"/>
      <c r="P116" s="458"/>
      <c r="Q116" s="459"/>
      <c r="R116" s="459"/>
    </row>
    <row r="117" spans="1:18" s="3" customFormat="1" ht="13.5" customHeight="1">
      <c r="A117" s="25" t="s">
        <v>86</v>
      </c>
      <c r="B117" s="443" t="str">
        <f>IF('[1]p20'!$H$156&lt;&gt;0,'[1]p20'!$H$156,"")</f>
        <v>Participante</v>
      </c>
      <c r="C117" s="444"/>
      <c r="D117" s="451" t="s">
        <v>235</v>
      </c>
      <c r="E117" s="452"/>
      <c r="F117" s="453" t="str">
        <f>IF('[1]p20'!$A$156&lt;&gt;0,'[1]p20'!$A$156,"")</f>
        <v>Análise/EDP</v>
      </c>
      <c r="G117" s="453"/>
      <c r="H117" s="453"/>
      <c r="I117" s="453"/>
      <c r="J117" s="454"/>
      <c r="K117" s="25" t="s">
        <v>73</v>
      </c>
      <c r="L117" s="455">
        <f>IF('[1]p20'!$J$156&lt;&gt;0,'[1]p20'!$J$156,"")</f>
        <v>39114</v>
      </c>
      <c r="M117" s="456"/>
      <c r="N117" s="25" t="s">
        <v>74</v>
      </c>
      <c r="O117" s="455">
        <f>IF('[1]p20'!$K$156&lt;&gt;0,'[1]p20'!$K$156,"")</f>
        <v>39844</v>
      </c>
      <c r="P117" s="456"/>
      <c r="Q117" s="459"/>
      <c r="R117" s="459"/>
    </row>
    <row r="118" spans="1:18" ht="12.75">
      <c r="A118" s="382" t="s">
        <v>236</v>
      </c>
      <c r="B118" s="381"/>
      <c r="C118" s="381"/>
      <c r="D118" s="449">
        <f>'[1]p20'!$A$158</f>
        <v>0</v>
      </c>
      <c r="E118" s="450"/>
      <c r="F118" s="382" t="s">
        <v>240</v>
      </c>
      <c r="G118" s="381"/>
      <c r="H118" s="449">
        <f>'[1]p20'!$D$158</f>
        <v>0</v>
      </c>
      <c r="I118" s="450"/>
      <c r="J118" s="382" t="s">
        <v>238</v>
      </c>
      <c r="K118" s="381"/>
      <c r="L118" s="449">
        <f>'[1]p20'!$G$158</f>
        <v>0</v>
      </c>
      <c r="M118" s="450"/>
      <c r="N118" s="112" t="s">
        <v>239</v>
      </c>
      <c r="O118" s="449">
        <f>'[1]p20'!$J$158</f>
        <v>0</v>
      </c>
      <c r="P118" s="450"/>
      <c r="Q118" s="459"/>
      <c r="R118" s="459"/>
    </row>
    <row r="119" spans="1:18" ht="12.75">
      <c r="A119" s="383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459"/>
      <c r="R119" s="459"/>
    </row>
    <row r="120" spans="1:19" s="46" customFormat="1" ht="11.25" customHeight="1">
      <c r="A120" s="382" t="str">
        <f>T('[1]p26'!$C$13:$G$13)</f>
        <v>Marco Aurélio Soares Souto</v>
      </c>
      <c r="B120" s="381"/>
      <c r="C120" s="381"/>
      <c r="D120" s="381"/>
      <c r="E120" s="384"/>
      <c r="F120" s="439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59"/>
      <c r="R120" s="459"/>
      <c r="S120" s="39"/>
    </row>
    <row r="121" spans="1:18" s="3" customFormat="1" ht="13.5" customHeight="1">
      <c r="A121" s="25" t="s">
        <v>75</v>
      </c>
      <c r="B121" s="379" t="str">
        <f>IF('[1]p26'!$A$140&lt;&gt;0,'[1]p26'!$A$140,"")</f>
        <v>Equações Dif.  Aplicadas e Álgebra com Identidades Polinomiais (Casadinho, Proc.620025/2006-9)</v>
      </c>
      <c r="C121" s="379"/>
      <c r="D121" s="379"/>
      <c r="E121" s="379"/>
      <c r="F121" s="379"/>
      <c r="G121" s="379"/>
      <c r="H121" s="379"/>
      <c r="I121" s="380"/>
      <c r="J121" s="382" t="s">
        <v>234</v>
      </c>
      <c r="K121" s="381"/>
      <c r="L121" s="111" t="str">
        <f>IF('[1]p26'!$I$140&lt;&gt;0,'[1]p26'!$I$140,"")</f>
        <v>CNPq</v>
      </c>
      <c r="M121" s="61" t="s">
        <v>233</v>
      </c>
      <c r="N121" s="457" t="str">
        <f>IF('[1]p26'!$K$140&lt;&gt;0,'[1]p26'!$K$140,"")</f>
        <v>Em andamento</v>
      </c>
      <c r="O121" s="457"/>
      <c r="P121" s="458"/>
      <c r="Q121" s="459"/>
      <c r="R121" s="459"/>
    </row>
    <row r="122" spans="1:18" s="3" customFormat="1" ht="13.5" customHeight="1">
      <c r="A122" s="25" t="s">
        <v>86</v>
      </c>
      <c r="B122" s="443" t="str">
        <f>IF('[1]p26'!$H$142&lt;&gt;0,'[1]p26'!$H$142,"")</f>
        <v>Participante</v>
      </c>
      <c r="C122" s="444"/>
      <c r="D122" s="451" t="s">
        <v>235</v>
      </c>
      <c r="E122" s="452"/>
      <c r="F122" s="453" t="str">
        <f>IF('[1]p26'!$A$142&lt;&gt;0,'[1]p26'!$A$142,"")</f>
        <v>Matemática</v>
      </c>
      <c r="G122" s="453"/>
      <c r="H122" s="453"/>
      <c r="I122" s="453"/>
      <c r="J122" s="454"/>
      <c r="K122" s="25" t="s">
        <v>73</v>
      </c>
      <c r="L122" s="455">
        <f>IF('[1]p26'!$J$142&lt;&gt;0,'[1]p26'!$J$142,"")</f>
        <v>39116</v>
      </c>
      <c r="M122" s="456"/>
      <c r="N122" s="25" t="s">
        <v>74</v>
      </c>
      <c r="O122" s="455">
        <f>IF('[1]p26'!$K$142&lt;&gt;0,'[1]p26'!$K$142,"")</f>
        <v>39874</v>
      </c>
      <c r="P122" s="456"/>
      <c r="Q122" s="459"/>
      <c r="R122" s="459"/>
    </row>
    <row r="123" spans="1:18" ht="12.75">
      <c r="A123" s="382" t="s">
        <v>236</v>
      </c>
      <c r="B123" s="381"/>
      <c r="C123" s="381"/>
      <c r="D123" s="449">
        <f>'[1]p26'!$A$144</f>
        <v>0</v>
      </c>
      <c r="E123" s="450"/>
      <c r="F123" s="382" t="s">
        <v>237</v>
      </c>
      <c r="G123" s="381"/>
      <c r="H123" s="449">
        <f>'[1]p26'!$D$144</f>
        <v>0</v>
      </c>
      <c r="I123" s="450"/>
      <c r="J123" s="382" t="s">
        <v>238</v>
      </c>
      <c r="K123" s="381"/>
      <c r="L123" s="449">
        <f>'[1]p26'!$G$144</f>
        <v>0</v>
      </c>
      <c r="M123" s="450"/>
      <c r="N123" s="112" t="s">
        <v>239</v>
      </c>
      <c r="O123" s="449">
        <f>'[1]p26'!$J$144</f>
        <v>0</v>
      </c>
      <c r="P123" s="450"/>
      <c r="Q123" s="459"/>
      <c r="R123" s="459"/>
    </row>
    <row r="124" spans="1:18" ht="12.75">
      <c r="A124" s="383"/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459"/>
      <c r="R124" s="459"/>
    </row>
    <row r="125" spans="1:18" s="3" customFormat="1" ht="13.5" customHeight="1">
      <c r="A125" s="25" t="s">
        <v>75</v>
      </c>
      <c r="B125" s="379" t="str">
        <f>IF('[1]p26'!$A$147&lt;&gt;0,'[1]p26'!$A$147,"")</f>
        <v>Projeto Universal CNPq (Coord. Prof. Daniel): Proc No: </v>
      </c>
      <c r="C125" s="379"/>
      <c r="D125" s="379"/>
      <c r="E125" s="379"/>
      <c r="F125" s="379"/>
      <c r="G125" s="379"/>
      <c r="H125" s="379"/>
      <c r="I125" s="380"/>
      <c r="J125" s="382" t="s">
        <v>234</v>
      </c>
      <c r="K125" s="381"/>
      <c r="L125" s="111" t="str">
        <f>IF('[1]p26'!$I$147&lt;&gt;0,'[1]p26'!$I$147,"")</f>
        <v>CNPq</v>
      </c>
      <c r="M125" s="61" t="s">
        <v>233</v>
      </c>
      <c r="N125" s="457" t="str">
        <f>IF('[1]p26'!$K$147&lt;&gt;0,'[1]p26'!$K$147,"")</f>
        <v>Em andamento</v>
      </c>
      <c r="O125" s="457"/>
      <c r="P125" s="458"/>
      <c r="Q125" s="459"/>
      <c r="R125" s="459"/>
    </row>
    <row r="126" spans="1:18" s="3" customFormat="1" ht="13.5" customHeight="1">
      <c r="A126" s="25" t="s">
        <v>86</v>
      </c>
      <c r="B126" s="443" t="str">
        <f>IF('[1]p26'!$H$149&lt;&gt;0,'[1]p26'!$H$149,"")</f>
        <v>Participante</v>
      </c>
      <c r="C126" s="444"/>
      <c r="D126" s="451" t="s">
        <v>235</v>
      </c>
      <c r="E126" s="452"/>
      <c r="F126" s="453" t="str">
        <f>IF('[1]p26'!$A$149&lt;&gt;0,'[1]p26'!$A$149,"")</f>
        <v>Análise/EDP</v>
      </c>
      <c r="G126" s="453"/>
      <c r="H126" s="453"/>
      <c r="I126" s="453"/>
      <c r="J126" s="454"/>
      <c r="K126" s="25" t="s">
        <v>73</v>
      </c>
      <c r="L126" s="455">
        <f>IF('[1]p26'!$J$149&lt;&gt;0,'[1]p26'!$J$149,"")</f>
        <v>39114</v>
      </c>
      <c r="M126" s="456"/>
      <c r="N126" s="25" t="s">
        <v>74</v>
      </c>
      <c r="O126" s="455">
        <f>IF('[1]p26'!$K$149&lt;&gt;0,'[1]p26'!$K$149,"")</f>
        <v>39844</v>
      </c>
      <c r="P126" s="456"/>
      <c r="Q126" s="459"/>
      <c r="R126" s="459"/>
    </row>
    <row r="127" spans="1:18" ht="12.75">
      <c r="A127" s="382" t="s">
        <v>236</v>
      </c>
      <c r="B127" s="381"/>
      <c r="C127" s="381"/>
      <c r="D127" s="449">
        <f>'[1]p26'!$A$151</f>
        <v>0</v>
      </c>
      <c r="E127" s="450"/>
      <c r="F127" s="382" t="s">
        <v>240</v>
      </c>
      <c r="G127" s="381"/>
      <c r="H127" s="449">
        <f>'[1]p26'!$D$151</f>
        <v>0</v>
      </c>
      <c r="I127" s="450"/>
      <c r="J127" s="382" t="s">
        <v>238</v>
      </c>
      <c r="K127" s="381"/>
      <c r="L127" s="449">
        <f>'[1]p26'!$G$151</f>
        <v>0</v>
      </c>
      <c r="M127" s="450"/>
      <c r="N127" s="112" t="s">
        <v>239</v>
      </c>
      <c r="O127" s="449">
        <f>'[1]p26'!$J$151</f>
        <v>0</v>
      </c>
      <c r="P127" s="450"/>
      <c r="Q127" s="459"/>
      <c r="R127" s="459"/>
    </row>
    <row r="128" spans="1:18" ht="12.75">
      <c r="A128" s="383"/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459"/>
      <c r="R128" s="459"/>
    </row>
    <row r="129" spans="1:19" s="46" customFormat="1" ht="11.25" customHeight="1">
      <c r="A129" s="382" t="str">
        <f>T('[1]p28'!$C$13:$G$13)</f>
        <v>Michelli Karinne Barros da Silva</v>
      </c>
      <c r="B129" s="381"/>
      <c r="C129" s="381"/>
      <c r="D129" s="381"/>
      <c r="E129" s="384"/>
      <c r="F129" s="439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59"/>
      <c r="R129" s="459"/>
      <c r="S129" s="39"/>
    </row>
    <row r="130" spans="1:18" s="3" customFormat="1" ht="13.5" customHeight="1">
      <c r="A130" s="25" t="s">
        <v>75</v>
      </c>
      <c r="B130" s="379" t="str">
        <f>IF('[1]p28'!$A$140&lt;&gt;0,'[1]p28'!$A$140,"")</f>
        <v>Diagnóstico de Influência em Modelos de Regressão de Contornos Elípticos</v>
      </c>
      <c r="C130" s="379"/>
      <c r="D130" s="379"/>
      <c r="E130" s="379"/>
      <c r="F130" s="379"/>
      <c r="G130" s="379"/>
      <c r="H130" s="379"/>
      <c r="I130" s="380"/>
      <c r="J130" s="382" t="s">
        <v>234</v>
      </c>
      <c r="K130" s="381"/>
      <c r="L130" s="111" t="str">
        <f>IF('[1]p28'!$I$140&lt;&gt;0,'[1]p28'!$I$140,"")</f>
        <v>CNPq</v>
      </c>
      <c r="M130" s="61" t="s">
        <v>233</v>
      </c>
      <c r="N130" s="457" t="str">
        <f>IF('[1]p28'!$K$140&lt;&gt;0,'[1]p28'!$K$140,"")</f>
        <v>Em andamento</v>
      </c>
      <c r="O130" s="457"/>
      <c r="P130" s="458"/>
      <c r="Q130" s="459"/>
      <c r="R130" s="459"/>
    </row>
    <row r="131" spans="1:18" s="3" customFormat="1" ht="13.5" customHeight="1">
      <c r="A131" s="25" t="s">
        <v>86</v>
      </c>
      <c r="B131" s="443" t="str">
        <f>IF('[1]p28'!$H$142&lt;&gt;0,'[1]p28'!$H$142,"")</f>
        <v>Participante</v>
      </c>
      <c r="C131" s="444"/>
      <c r="D131" s="451" t="s">
        <v>235</v>
      </c>
      <c r="E131" s="452"/>
      <c r="F131" s="453" t="str">
        <f>IF('[1]p28'!$A$142&lt;&gt;0,'[1]p28'!$A$142,"")</f>
        <v>Estatística</v>
      </c>
      <c r="G131" s="453"/>
      <c r="H131" s="453"/>
      <c r="I131" s="453"/>
      <c r="J131" s="454"/>
      <c r="K131" s="25" t="s">
        <v>73</v>
      </c>
      <c r="L131" s="455">
        <f>IF('[1]p28'!$J$142&lt;&gt;0,'[1]p28'!$J$142,"")</f>
        <v>38993</v>
      </c>
      <c r="M131" s="456"/>
      <c r="N131" s="25" t="s">
        <v>74</v>
      </c>
      <c r="O131" s="455">
        <f>IF('[1]p28'!$K$142&lt;&gt;0,'[1]p28'!$K$142,"")</f>
        <v>39724</v>
      </c>
      <c r="P131" s="456"/>
      <c r="Q131" s="459"/>
      <c r="R131" s="459"/>
    </row>
    <row r="132" spans="1:18" ht="12.75">
      <c r="A132" s="382" t="s">
        <v>236</v>
      </c>
      <c r="B132" s="381"/>
      <c r="C132" s="381"/>
      <c r="D132" s="449">
        <f>'[1]p28'!$A$144</f>
        <v>0</v>
      </c>
      <c r="E132" s="450"/>
      <c r="F132" s="382" t="s">
        <v>237</v>
      </c>
      <c r="G132" s="381"/>
      <c r="H132" s="449">
        <f>'[1]p28'!$D$144</f>
        <v>0</v>
      </c>
      <c r="I132" s="450"/>
      <c r="J132" s="382" t="s">
        <v>238</v>
      </c>
      <c r="K132" s="381"/>
      <c r="L132" s="449">
        <f>'[1]p28'!$G$144</f>
        <v>0</v>
      </c>
      <c r="M132" s="450"/>
      <c r="N132" s="112" t="s">
        <v>239</v>
      </c>
      <c r="O132" s="449">
        <f>'[1]p28'!$J$144</f>
        <v>0</v>
      </c>
      <c r="P132" s="450"/>
      <c r="Q132" s="459"/>
      <c r="R132" s="459"/>
    </row>
    <row r="133" spans="1:18" ht="12.75">
      <c r="A133" s="383"/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459"/>
      <c r="R133" s="459"/>
    </row>
    <row r="134" spans="1:18" s="3" customFormat="1" ht="13.5" customHeight="1">
      <c r="A134" s="25" t="s">
        <v>75</v>
      </c>
      <c r="B134" s="379" t="str">
        <f>IF('[1]p28'!$A$147&lt;&gt;0,'[1]p28'!$A$147,"")</f>
        <v>Modelos Tobit</v>
      </c>
      <c r="C134" s="379"/>
      <c r="D134" s="379"/>
      <c r="E134" s="379"/>
      <c r="F134" s="379"/>
      <c r="G134" s="379"/>
      <c r="H134" s="379"/>
      <c r="I134" s="380"/>
      <c r="J134" s="382" t="s">
        <v>234</v>
      </c>
      <c r="K134" s="381"/>
      <c r="L134" s="111" t="str">
        <f>IF('[1]p28'!$I$147&lt;&gt;0,'[1]p28'!$I$147,"")</f>
        <v>Não há</v>
      </c>
      <c r="M134" s="61" t="s">
        <v>233</v>
      </c>
      <c r="N134" s="457" t="str">
        <f>IF('[1]p28'!$K$147&lt;&gt;0,'[1]p28'!$K$147,"")</f>
        <v>Em andamento</v>
      </c>
      <c r="O134" s="457"/>
      <c r="P134" s="458"/>
      <c r="Q134" s="459"/>
      <c r="R134" s="459"/>
    </row>
    <row r="135" spans="1:18" s="3" customFormat="1" ht="13.5" customHeight="1">
      <c r="A135" s="25" t="s">
        <v>86</v>
      </c>
      <c r="B135" s="443" t="str">
        <f>IF('[1]p28'!$H$149&lt;&gt;0,'[1]p28'!$H$149,"")</f>
        <v>Coordenador</v>
      </c>
      <c r="C135" s="444"/>
      <c r="D135" s="451" t="s">
        <v>235</v>
      </c>
      <c r="E135" s="452"/>
      <c r="F135" s="453" t="str">
        <f>IF('[1]p28'!$A$149&lt;&gt;0,'[1]p28'!$A$149,"")</f>
        <v>Regressão</v>
      </c>
      <c r="G135" s="453"/>
      <c r="H135" s="453"/>
      <c r="I135" s="453"/>
      <c r="J135" s="454"/>
      <c r="K135" s="25" t="s">
        <v>73</v>
      </c>
      <c r="L135" s="455">
        <f>IF('[1]p28'!$J$149&lt;&gt;0,'[1]p28'!$J$149,"")</f>
        <v>39384</v>
      </c>
      <c r="M135" s="456"/>
      <c r="N135" s="25" t="s">
        <v>74</v>
      </c>
      <c r="O135" s="455">
        <f>IF('[1]p28'!$K$149&lt;&gt;0,'[1]p28'!$K$149,"")</f>
        <v>39751</v>
      </c>
      <c r="P135" s="456"/>
      <c r="Q135" s="459"/>
      <c r="R135" s="459"/>
    </row>
    <row r="136" spans="1:18" ht="12.75">
      <c r="A136" s="382" t="s">
        <v>236</v>
      </c>
      <c r="B136" s="381"/>
      <c r="C136" s="381"/>
      <c r="D136" s="449">
        <f>'[1]p28'!$A$151</f>
        <v>0</v>
      </c>
      <c r="E136" s="450"/>
      <c r="F136" s="382" t="s">
        <v>240</v>
      </c>
      <c r="G136" s="381"/>
      <c r="H136" s="449">
        <f>'[1]p28'!$D$151</f>
        <v>0</v>
      </c>
      <c r="I136" s="450"/>
      <c r="J136" s="382" t="s">
        <v>238</v>
      </c>
      <c r="K136" s="381"/>
      <c r="L136" s="449">
        <f>'[1]p28'!$G$151</f>
        <v>0</v>
      </c>
      <c r="M136" s="450"/>
      <c r="N136" s="112" t="s">
        <v>239</v>
      </c>
      <c r="O136" s="449">
        <f>'[1]p28'!$J$151</f>
        <v>0</v>
      </c>
      <c r="P136" s="450"/>
      <c r="Q136" s="459"/>
      <c r="R136" s="459"/>
    </row>
    <row r="137" spans="1:18" ht="12.75">
      <c r="A137" s="383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459"/>
      <c r="R137" s="459"/>
    </row>
    <row r="138" spans="1:19" s="46" customFormat="1" ht="11.25" customHeight="1">
      <c r="A138" s="382" t="str">
        <f>T('[1]p31'!$C$13:$G$13)</f>
        <v>Rosana Marques da Silva</v>
      </c>
      <c r="B138" s="381"/>
      <c r="C138" s="381"/>
      <c r="D138" s="381"/>
      <c r="E138" s="384"/>
      <c r="F138" s="439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59"/>
      <c r="R138" s="459"/>
      <c r="S138" s="39"/>
    </row>
    <row r="139" spans="1:18" s="3" customFormat="1" ht="13.5" customHeight="1">
      <c r="A139" s="25" t="s">
        <v>75</v>
      </c>
      <c r="B139" s="379" t="str">
        <f>IF('[1]p31'!$A$140&lt;&gt;0,'[1]p31'!$A$140,"")</f>
        <v>Modelagem Numérica de Bacias Sedimentares</v>
      </c>
      <c r="C139" s="379"/>
      <c r="D139" s="379"/>
      <c r="E139" s="379"/>
      <c r="F139" s="379"/>
      <c r="G139" s="379"/>
      <c r="H139" s="379"/>
      <c r="I139" s="380"/>
      <c r="J139" s="382" t="s">
        <v>234</v>
      </c>
      <c r="K139" s="381"/>
      <c r="L139" s="111" t="str">
        <f>IF('[1]p31'!$I$140&lt;&gt;0,'[1]p31'!$I$140,"")</f>
        <v>ANP</v>
      </c>
      <c r="M139" s="61" t="s">
        <v>233</v>
      </c>
      <c r="N139" s="457" t="str">
        <f>IF('[1]p31'!$K$140&lt;&gt;0,'[1]p31'!$K$140,"")</f>
        <v>Em andamento</v>
      </c>
      <c r="O139" s="457"/>
      <c r="P139" s="458"/>
      <c r="Q139" s="459"/>
      <c r="R139" s="459"/>
    </row>
    <row r="140" spans="1:18" s="3" customFormat="1" ht="13.5" customHeight="1">
      <c r="A140" s="25" t="s">
        <v>86</v>
      </c>
      <c r="B140" s="443" t="str">
        <f>IF('[1]p31'!$H$142&lt;&gt;0,'[1]p31'!$H$142,"")</f>
        <v>Coordenador</v>
      </c>
      <c r="C140" s="444"/>
      <c r="D140" s="451" t="s">
        <v>235</v>
      </c>
      <c r="E140" s="452"/>
      <c r="F140" s="453" t="str">
        <f>IF('[1]p31'!$A$142&lt;&gt;0,'[1]p31'!$A$142,"")</f>
        <v>Matemática aplicada</v>
      </c>
      <c r="G140" s="453"/>
      <c r="H140" s="453"/>
      <c r="I140" s="453"/>
      <c r="J140" s="454"/>
      <c r="K140" s="25" t="s">
        <v>73</v>
      </c>
      <c r="L140" s="455">
        <f>IF('[1]p31'!$J$142&lt;&gt;0,'[1]p31'!$J$142,"")</f>
        <v>39569</v>
      </c>
      <c r="M140" s="456"/>
      <c r="N140" s="25" t="s">
        <v>74</v>
      </c>
      <c r="O140" s="455">
        <f>IF('[1]p31'!$K$142&lt;&gt;0,'[1]p31'!$K$142,"")</f>
      </c>
      <c r="P140" s="456"/>
      <c r="Q140" s="459"/>
      <c r="R140" s="459"/>
    </row>
    <row r="141" spans="1:18" ht="12.75">
      <c r="A141" s="382" t="s">
        <v>236</v>
      </c>
      <c r="B141" s="381"/>
      <c r="C141" s="381"/>
      <c r="D141" s="449">
        <f>'[1]p31'!$A$144</f>
        <v>0</v>
      </c>
      <c r="E141" s="450"/>
      <c r="F141" s="382" t="s">
        <v>237</v>
      </c>
      <c r="G141" s="381"/>
      <c r="H141" s="449">
        <f>'[1]p31'!$D$144</f>
        <v>0</v>
      </c>
      <c r="I141" s="450"/>
      <c r="J141" s="382" t="s">
        <v>238</v>
      </c>
      <c r="K141" s="381"/>
      <c r="L141" s="449">
        <f>'[1]p31'!$G$144</f>
        <v>0</v>
      </c>
      <c r="M141" s="450"/>
      <c r="N141" s="112" t="s">
        <v>239</v>
      </c>
      <c r="O141" s="449">
        <f>'[1]p31'!$J$144</f>
        <v>0</v>
      </c>
      <c r="P141" s="450"/>
      <c r="Q141" s="459"/>
      <c r="R141" s="459"/>
    </row>
    <row r="142" spans="1:18" ht="12.75">
      <c r="A142" s="383"/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459"/>
      <c r="R142" s="459"/>
    </row>
    <row r="143" spans="1:19" s="46" customFormat="1" ht="11.25" customHeight="1">
      <c r="A143" s="382" t="str">
        <f>T('[1]p32'!$C$13:$G$13)</f>
        <v>Rosângela Silveira do Nascimento</v>
      </c>
      <c r="B143" s="381"/>
      <c r="C143" s="381"/>
      <c r="D143" s="381"/>
      <c r="E143" s="384"/>
      <c r="F143" s="439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59"/>
      <c r="R143" s="459"/>
      <c r="S143" s="39"/>
    </row>
    <row r="144" spans="1:18" s="3" customFormat="1" ht="13.5" customHeight="1">
      <c r="A144" s="25" t="s">
        <v>75</v>
      </c>
      <c r="B144" s="379" t="str">
        <f>IF('[1]p32'!$A$140&lt;&gt;0,'[1]p32'!$A$140,"")</f>
        <v>produção de artigo  cientifico</v>
      </c>
      <c r="C144" s="379"/>
      <c r="D144" s="379"/>
      <c r="E144" s="379"/>
      <c r="F144" s="379"/>
      <c r="G144" s="379"/>
      <c r="H144" s="379"/>
      <c r="I144" s="380"/>
      <c r="J144" s="382" t="s">
        <v>234</v>
      </c>
      <c r="K144" s="381"/>
      <c r="L144" s="111">
        <f>IF('[1]p32'!$I$140&lt;&gt;0,'[1]p32'!$I$140,"")</f>
      </c>
      <c r="M144" s="61" t="s">
        <v>233</v>
      </c>
      <c r="N144" s="457">
        <f>IF('[1]p32'!$K$140&lt;&gt;0,'[1]p32'!$K$140,"")</f>
      </c>
      <c r="O144" s="457"/>
      <c r="P144" s="458"/>
      <c r="Q144" s="459"/>
      <c r="R144" s="459"/>
    </row>
    <row r="145" spans="1:18" s="3" customFormat="1" ht="13.5" customHeight="1">
      <c r="A145" s="25" t="s">
        <v>86</v>
      </c>
      <c r="B145" s="443">
        <f>IF('[1]p32'!$H$142&lt;&gt;0,'[1]p32'!$H$142,"")</f>
      </c>
      <c r="C145" s="444"/>
      <c r="D145" s="451" t="s">
        <v>235</v>
      </c>
      <c r="E145" s="452"/>
      <c r="F145" s="453">
        <f>IF('[1]p32'!$A$142&lt;&gt;0,'[1]p32'!$A$142,"")</f>
      </c>
      <c r="G145" s="453"/>
      <c r="H145" s="453"/>
      <c r="I145" s="453"/>
      <c r="J145" s="454"/>
      <c r="K145" s="25" t="s">
        <v>73</v>
      </c>
      <c r="L145" s="455" t="str">
        <f>IF('[1]p32'!$J$142&lt;&gt;0,'[1]p32'!$J$142,"")</f>
        <v>abril</v>
      </c>
      <c r="M145" s="456"/>
      <c r="N145" s="25" t="s">
        <v>74</v>
      </c>
      <c r="O145" s="455">
        <f>IF('[1]p32'!$K$142&lt;&gt;0,'[1]p32'!$K$142,"")</f>
      </c>
      <c r="P145" s="456"/>
      <c r="Q145" s="459"/>
      <c r="R145" s="459"/>
    </row>
    <row r="146" spans="1:18" ht="12.75">
      <c r="A146" s="382" t="s">
        <v>236</v>
      </c>
      <c r="B146" s="381"/>
      <c r="C146" s="381"/>
      <c r="D146" s="449">
        <f>'[1]p32'!$A$144</f>
        <v>0</v>
      </c>
      <c r="E146" s="450"/>
      <c r="F146" s="382" t="s">
        <v>237</v>
      </c>
      <c r="G146" s="381"/>
      <c r="H146" s="449">
        <f>'[1]p32'!$D$144</f>
        <v>0</v>
      </c>
      <c r="I146" s="450"/>
      <c r="J146" s="382" t="s">
        <v>238</v>
      </c>
      <c r="K146" s="381"/>
      <c r="L146" s="449">
        <f>'[1]p32'!$G$144</f>
        <v>0</v>
      </c>
      <c r="M146" s="450"/>
      <c r="N146" s="112" t="s">
        <v>239</v>
      </c>
      <c r="O146" s="449">
        <f>'[1]p32'!$J$144</f>
        <v>0</v>
      </c>
      <c r="P146" s="450"/>
      <c r="Q146" s="459"/>
      <c r="R146" s="459"/>
    </row>
    <row r="147" spans="1:18" ht="12.75">
      <c r="A147" s="383"/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459"/>
      <c r="R147" s="459"/>
    </row>
    <row r="148" spans="1:19" s="46" customFormat="1" ht="11.25" customHeight="1">
      <c r="A148" s="382" t="str">
        <f>T('[1]p33'!$C$13:$G$13)</f>
        <v>Sérgio Mota Alves</v>
      </c>
      <c r="B148" s="381"/>
      <c r="C148" s="381"/>
      <c r="D148" s="381"/>
      <c r="E148" s="384"/>
      <c r="F148" s="439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59"/>
      <c r="R148" s="459"/>
      <c r="S148" s="39"/>
    </row>
    <row r="149" spans="1:18" s="3" customFormat="1" ht="13.5" customHeight="1">
      <c r="A149" s="25" t="s">
        <v>75</v>
      </c>
      <c r="B149" s="379" t="str">
        <f>IF('[1]p33'!$A$140&lt;&gt;0,'[1]p33'!$A$140,"")</f>
        <v>Dimensão de Gelfand-Kirillov</v>
      </c>
      <c r="C149" s="379"/>
      <c r="D149" s="379"/>
      <c r="E149" s="379"/>
      <c r="F149" s="379"/>
      <c r="G149" s="379"/>
      <c r="H149" s="379"/>
      <c r="I149" s="380"/>
      <c r="J149" s="382" t="s">
        <v>234</v>
      </c>
      <c r="K149" s="381"/>
      <c r="L149" s="111">
        <f>IF('[1]p33'!$I$140&lt;&gt;0,'[1]p33'!$I$140,"")</f>
      </c>
      <c r="M149" s="61" t="s">
        <v>233</v>
      </c>
      <c r="N149" s="457" t="str">
        <f>IF('[1]p33'!$K$140&lt;&gt;0,'[1]p33'!$K$140,"")</f>
        <v>Em andamento</v>
      </c>
      <c r="O149" s="457"/>
      <c r="P149" s="458"/>
      <c r="Q149" s="459"/>
      <c r="R149" s="459"/>
    </row>
    <row r="150" spans="1:18" s="3" customFormat="1" ht="13.5" customHeight="1">
      <c r="A150" s="25" t="s">
        <v>86</v>
      </c>
      <c r="B150" s="443" t="str">
        <f>IF('[1]p33'!$H$142&lt;&gt;0,'[1]p33'!$H$142,"")</f>
        <v>Coordenador</v>
      </c>
      <c r="C150" s="444"/>
      <c r="D150" s="451" t="s">
        <v>235</v>
      </c>
      <c r="E150" s="452"/>
      <c r="F150" s="453" t="str">
        <f>IF('[1]p33'!$A$142&lt;&gt;0,'[1]p33'!$A$142,"")</f>
        <v>Álgebras com Identidades Polinomiais</v>
      </c>
      <c r="G150" s="453"/>
      <c r="H150" s="453"/>
      <c r="I150" s="453"/>
      <c r="J150" s="454"/>
      <c r="K150" s="25" t="s">
        <v>73</v>
      </c>
      <c r="L150" s="455">
        <f>IF('[1]p33'!$J$142&lt;&gt;0,'[1]p33'!$J$142,"")</f>
        <v>39264</v>
      </c>
      <c r="M150" s="456"/>
      <c r="N150" s="25" t="s">
        <v>74</v>
      </c>
      <c r="O150" s="455">
        <f>IF('[1]p33'!$K$142&lt;&gt;0,'[1]p33'!$K$142,"")</f>
      </c>
      <c r="P150" s="456"/>
      <c r="Q150" s="459"/>
      <c r="R150" s="459"/>
    </row>
    <row r="151" spans="1:18" ht="12.75">
      <c r="A151" s="382" t="s">
        <v>236</v>
      </c>
      <c r="B151" s="381"/>
      <c r="C151" s="381"/>
      <c r="D151" s="449">
        <f>'[1]p33'!$A$144</f>
        <v>0</v>
      </c>
      <c r="E151" s="450"/>
      <c r="F151" s="382" t="s">
        <v>237</v>
      </c>
      <c r="G151" s="381"/>
      <c r="H151" s="449">
        <f>'[1]p33'!$D$144</f>
        <v>0</v>
      </c>
      <c r="I151" s="450"/>
      <c r="J151" s="382" t="s">
        <v>238</v>
      </c>
      <c r="K151" s="381"/>
      <c r="L151" s="449">
        <f>'[1]p33'!$G$144</f>
        <v>0</v>
      </c>
      <c r="M151" s="450"/>
      <c r="N151" s="112" t="s">
        <v>239</v>
      </c>
      <c r="O151" s="449">
        <f>'[1]p33'!$J$144</f>
        <v>0</v>
      </c>
      <c r="P151" s="450"/>
      <c r="Q151" s="459"/>
      <c r="R151" s="459"/>
    </row>
    <row r="152" spans="1:18" ht="12.75">
      <c r="A152" s="383"/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459"/>
      <c r="R152" s="459"/>
    </row>
    <row r="153" spans="1:18" s="3" customFormat="1" ht="13.5" customHeight="1">
      <c r="A153" s="25" t="s">
        <v>75</v>
      </c>
      <c r="B153" s="379" t="str">
        <f>IF('[1]p33'!$A$147&lt;&gt;0,'[1]p33'!$A$147,"")</f>
        <v>Polinômios Centrais Graduados para Matrizes sobre Corpos Infinitos</v>
      </c>
      <c r="C153" s="379"/>
      <c r="D153" s="379"/>
      <c r="E153" s="379"/>
      <c r="F153" s="379"/>
      <c r="G153" s="379"/>
      <c r="H153" s="379"/>
      <c r="I153" s="380"/>
      <c r="J153" s="382" t="s">
        <v>234</v>
      </c>
      <c r="K153" s="381"/>
      <c r="L153" s="111">
        <f>IF('[1]p33'!$I$147&lt;&gt;0,'[1]p33'!$I$147,"")</f>
      </c>
      <c r="M153" s="61" t="s">
        <v>233</v>
      </c>
      <c r="N153" s="457" t="str">
        <f>IF('[1]p33'!$K$147&lt;&gt;0,'[1]p33'!$K$147,"")</f>
        <v>Concluído</v>
      </c>
      <c r="O153" s="457"/>
      <c r="P153" s="458"/>
      <c r="Q153" s="459"/>
      <c r="R153" s="459"/>
    </row>
    <row r="154" spans="1:18" s="3" customFormat="1" ht="13.5" customHeight="1">
      <c r="A154" s="25" t="s">
        <v>86</v>
      </c>
      <c r="B154" s="443" t="str">
        <f>IF('[1]p33'!$H$149&lt;&gt;0,'[1]p33'!$H$149,"")</f>
        <v>Coordenador</v>
      </c>
      <c r="C154" s="444"/>
      <c r="D154" s="451" t="s">
        <v>235</v>
      </c>
      <c r="E154" s="452"/>
      <c r="F154" s="453" t="str">
        <f>IF('[1]p33'!$A$149&lt;&gt;0,'[1]p33'!$A$149,"")</f>
        <v>Álgebras com Identidades Polinomiais</v>
      </c>
      <c r="G154" s="453"/>
      <c r="H154" s="453"/>
      <c r="I154" s="453"/>
      <c r="J154" s="454"/>
      <c r="K154" s="25" t="s">
        <v>73</v>
      </c>
      <c r="L154" s="455">
        <f>IF('[1]p33'!$J$149&lt;&gt;0,'[1]p33'!$J$149,"")</f>
        <v>39508</v>
      </c>
      <c r="M154" s="456"/>
      <c r="N154" s="25" t="s">
        <v>74</v>
      </c>
      <c r="O154" s="455">
        <f>IF('[1]p33'!$K$149&lt;&gt;0,'[1]p33'!$K$149,"")</f>
      </c>
      <c r="P154" s="456"/>
      <c r="Q154" s="459"/>
      <c r="R154" s="459"/>
    </row>
    <row r="155" spans="1:18" ht="12.75">
      <c r="A155" s="382" t="s">
        <v>236</v>
      </c>
      <c r="B155" s="381"/>
      <c r="C155" s="381"/>
      <c r="D155" s="449">
        <f>'[1]p33'!$A$151</f>
        <v>0</v>
      </c>
      <c r="E155" s="450"/>
      <c r="F155" s="382" t="s">
        <v>240</v>
      </c>
      <c r="G155" s="381"/>
      <c r="H155" s="449">
        <f>'[1]p33'!$D$151</f>
        <v>0</v>
      </c>
      <c r="I155" s="450"/>
      <c r="J155" s="382" t="s">
        <v>238</v>
      </c>
      <c r="K155" s="381"/>
      <c r="L155" s="449">
        <f>'[1]p33'!$G$151</f>
        <v>0</v>
      </c>
      <c r="M155" s="450"/>
      <c r="N155" s="112" t="s">
        <v>239</v>
      </c>
      <c r="O155" s="449">
        <f>'[1]p33'!$J$151</f>
        <v>0</v>
      </c>
      <c r="P155" s="450"/>
      <c r="Q155" s="459"/>
      <c r="R155" s="459"/>
    </row>
    <row r="156" spans="1:18" ht="12.75">
      <c r="A156" s="383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459"/>
      <c r="R156" s="459"/>
    </row>
    <row r="157" spans="1:18" s="3" customFormat="1" ht="13.5" customHeight="1">
      <c r="A157" s="25" t="s">
        <v>75</v>
      </c>
      <c r="B157" s="379" t="str">
        <f>IF('[1]p33'!$A$154&lt;&gt;0,'[1]p33'!$A$154,"")</f>
        <v>Identidades e Polinômios Centrais Graduados para Matrizes Triangulares em Blocos</v>
      </c>
      <c r="C157" s="379"/>
      <c r="D157" s="379"/>
      <c r="E157" s="379"/>
      <c r="F157" s="379"/>
      <c r="G157" s="379"/>
      <c r="H157" s="379"/>
      <c r="I157" s="380"/>
      <c r="J157" s="382" t="s">
        <v>234</v>
      </c>
      <c r="K157" s="381"/>
      <c r="L157" s="111">
        <f>IF('[1]p33'!$I$154&lt;&gt;0,'[1]p33'!$I$154,"")</f>
      </c>
      <c r="M157" s="61" t="s">
        <v>233</v>
      </c>
      <c r="N157" s="457" t="str">
        <f>IF('[1]p33'!$K$154&lt;&gt;0,'[1]p33'!$K$154,"")</f>
        <v>Em andamento</v>
      </c>
      <c r="O157" s="457"/>
      <c r="P157" s="458"/>
      <c r="Q157" s="459"/>
      <c r="R157" s="459"/>
    </row>
    <row r="158" spans="1:18" s="3" customFormat="1" ht="13.5" customHeight="1">
      <c r="A158" s="25" t="s">
        <v>86</v>
      </c>
      <c r="B158" s="443" t="str">
        <f>IF('[1]p33'!$H$156&lt;&gt;0,'[1]p33'!$H$156,"")</f>
        <v>Coordenador</v>
      </c>
      <c r="C158" s="444"/>
      <c r="D158" s="451" t="s">
        <v>235</v>
      </c>
      <c r="E158" s="452"/>
      <c r="F158" s="453" t="str">
        <f>IF('[1]p33'!$A$156&lt;&gt;0,'[1]p33'!$A$156,"")</f>
        <v>Álgebras com Identidades Polinomiais</v>
      </c>
      <c r="G158" s="453"/>
      <c r="H158" s="453"/>
      <c r="I158" s="453"/>
      <c r="J158" s="454"/>
      <c r="K158" s="25" t="s">
        <v>73</v>
      </c>
      <c r="L158" s="455">
        <f>IF('[1]p33'!$J$156&lt;&gt;0,'[1]p33'!$J$156,"")</f>
        <v>39489</v>
      </c>
      <c r="M158" s="456"/>
      <c r="N158" s="25" t="s">
        <v>74</v>
      </c>
      <c r="O158" s="455">
        <f>IF('[1]p33'!$K$156&lt;&gt;0,'[1]p33'!$K$156,"")</f>
      </c>
      <c r="P158" s="456"/>
      <c r="Q158" s="459"/>
      <c r="R158" s="459"/>
    </row>
    <row r="159" spans="1:18" ht="12.75">
      <c r="A159" s="382" t="s">
        <v>236</v>
      </c>
      <c r="B159" s="381"/>
      <c r="C159" s="381"/>
      <c r="D159" s="449">
        <f>'[1]p33'!$A$158</f>
        <v>0</v>
      </c>
      <c r="E159" s="450"/>
      <c r="F159" s="382" t="s">
        <v>240</v>
      </c>
      <c r="G159" s="381"/>
      <c r="H159" s="449">
        <f>'[1]p33'!$D$158</f>
        <v>0</v>
      </c>
      <c r="I159" s="450"/>
      <c r="J159" s="382" t="s">
        <v>238</v>
      </c>
      <c r="K159" s="381"/>
      <c r="L159" s="449">
        <f>'[1]p33'!$G$158</f>
        <v>0</v>
      </c>
      <c r="M159" s="450"/>
      <c r="N159" s="112" t="s">
        <v>239</v>
      </c>
      <c r="O159" s="449">
        <f>'[1]p33'!$J$158</f>
        <v>0</v>
      </c>
      <c r="P159" s="450"/>
      <c r="Q159" s="459"/>
      <c r="R159" s="459"/>
    </row>
  </sheetData>
  <sheetProtection password="CEFE" sheet="1" objects="1" scenarios="1"/>
  <mergeCells count="597">
    <mergeCell ref="Q1:R159"/>
    <mergeCell ref="J118:K118"/>
    <mergeCell ref="L118:M118"/>
    <mergeCell ref="O118:P118"/>
    <mergeCell ref="A115:P115"/>
    <mergeCell ref="B116:I116"/>
    <mergeCell ref="J116:K116"/>
    <mergeCell ref="N116:P116"/>
    <mergeCell ref="O117:P117"/>
    <mergeCell ref="J114:K114"/>
    <mergeCell ref="B117:C117"/>
    <mergeCell ref="D117:E117"/>
    <mergeCell ref="A118:C118"/>
    <mergeCell ref="D118:E118"/>
    <mergeCell ref="F118:G118"/>
    <mergeCell ref="H118:I118"/>
    <mergeCell ref="F117:J117"/>
    <mergeCell ref="L117:M117"/>
    <mergeCell ref="L114:M114"/>
    <mergeCell ref="O114:P114"/>
    <mergeCell ref="B113:C113"/>
    <mergeCell ref="D113:E113"/>
    <mergeCell ref="A114:C114"/>
    <mergeCell ref="D114:E114"/>
    <mergeCell ref="F114:G114"/>
    <mergeCell ref="H114:I114"/>
    <mergeCell ref="F113:J113"/>
    <mergeCell ref="L113:M113"/>
    <mergeCell ref="B112:I112"/>
    <mergeCell ref="J112:K112"/>
    <mergeCell ref="N112:P112"/>
    <mergeCell ref="O113:P113"/>
    <mergeCell ref="A109:C109"/>
    <mergeCell ref="D109:E109"/>
    <mergeCell ref="A110:P110"/>
    <mergeCell ref="A111:E111"/>
    <mergeCell ref="F111:P111"/>
    <mergeCell ref="J109:K109"/>
    <mergeCell ref="L109:M109"/>
    <mergeCell ref="O109:P109"/>
    <mergeCell ref="F109:G109"/>
    <mergeCell ref="H109:I109"/>
    <mergeCell ref="N107:P107"/>
    <mergeCell ref="O108:P108"/>
    <mergeCell ref="B108:C108"/>
    <mergeCell ref="D108:E108"/>
    <mergeCell ref="F108:J108"/>
    <mergeCell ref="L108:M108"/>
    <mergeCell ref="B107:I107"/>
    <mergeCell ref="J107:K107"/>
    <mergeCell ref="J106:K106"/>
    <mergeCell ref="L106:M106"/>
    <mergeCell ref="O106:P106"/>
    <mergeCell ref="B105:C105"/>
    <mergeCell ref="D105:E105"/>
    <mergeCell ref="A106:C106"/>
    <mergeCell ref="D106:E106"/>
    <mergeCell ref="F106:G106"/>
    <mergeCell ref="H106:I106"/>
    <mergeCell ref="F105:J105"/>
    <mergeCell ref="L105:M105"/>
    <mergeCell ref="A103:P103"/>
    <mergeCell ref="B104:I104"/>
    <mergeCell ref="J104:K104"/>
    <mergeCell ref="N104:P104"/>
    <mergeCell ref="O105:P105"/>
    <mergeCell ref="J102:K102"/>
    <mergeCell ref="L102:M102"/>
    <mergeCell ref="O102:P102"/>
    <mergeCell ref="B101:C101"/>
    <mergeCell ref="D101:E101"/>
    <mergeCell ref="A102:C102"/>
    <mergeCell ref="D102:E102"/>
    <mergeCell ref="F102:G102"/>
    <mergeCell ref="H102:I102"/>
    <mergeCell ref="F101:J101"/>
    <mergeCell ref="L101:M101"/>
    <mergeCell ref="A98:P98"/>
    <mergeCell ref="A99:E99"/>
    <mergeCell ref="F99:P99"/>
    <mergeCell ref="B100:I100"/>
    <mergeCell ref="J100:K100"/>
    <mergeCell ref="N100:P100"/>
    <mergeCell ref="O101:P101"/>
    <mergeCell ref="J97:K97"/>
    <mergeCell ref="L97:M97"/>
    <mergeCell ref="O97:P97"/>
    <mergeCell ref="B96:C96"/>
    <mergeCell ref="D96:E96"/>
    <mergeCell ref="A97:C97"/>
    <mergeCell ref="D97:E97"/>
    <mergeCell ref="F97:G97"/>
    <mergeCell ref="H97:I97"/>
    <mergeCell ref="F96:J96"/>
    <mergeCell ref="L96:M96"/>
    <mergeCell ref="A93:P93"/>
    <mergeCell ref="A94:E94"/>
    <mergeCell ref="F94:P94"/>
    <mergeCell ref="B95:I95"/>
    <mergeCell ref="J95:K95"/>
    <mergeCell ref="N95:P95"/>
    <mergeCell ref="O96:P96"/>
    <mergeCell ref="J92:K92"/>
    <mergeCell ref="L92:M92"/>
    <mergeCell ref="O92:P92"/>
    <mergeCell ref="B91:C91"/>
    <mergeCell ref="D91:E91"/>
    <mergeCell ref="A92:C92"/>
    <mergeCell ref="D92:E92"/>
    <mergeCell ref="F92:G92"/>
    <mergeCell ref="H92:I92"/>
    <mergeCell ref="F91:J91"/>
    <mergeCell ref="L91:M91"/>
    <mergeCell ref="A89:P89"/>
    <mergeCell ref="B90:I90"/>
    <mergeCell ref="J90:K90"/>
    <mergeCell ref="N90:P90"/>
    <mergeCell ref="O91:P91"/>
    <mergeCell ref="J88:K88"/>
    <mergeCell ref="L88:M88"/>
    <mergeCell ref="O88:P88"/>
    <mergeCell ref="B87:C87"/>
    <mergeCell ref="D87:E87"/>
    <mergeCell ref="A88:C88"/>
    <mergeCell ref="D88:E88"/>
    <mergeCell ref="F88:G88"/>
    <mergeCell ref="H88:I88"/>
    <mergeCell ref="F87:J87"/>
    <mergeCell ref="L87:M87"/>
    <mergeCell ref="A84:P84"/>
    <mergeCell ref="A85:E85"/>
    <mergeCell ref="F85:P85"/>
    <mergeCell ref="B86:I86"/>
    <mergeCell ref="J86:K86"/>
    <mergeCell ref="N86:P86"/>
    <mergeCell ref="O87:P87"/>
    <mergeCell ref="A82:C82"/>
    <mergeCell ref="D82:E82"/>
    <mergeCell ref="A83:P83"/>
    <mergeCell ref="J82:K82"/>
    <mergeCell ref="L82:M82"/>
    <mergeCell ref="O82:P82"/>
    <mergeCell ref="F82:G82"/>
    <mergeCell ref="H82:I82"/>
    <mergeCell ref="F81:J81"/>
    <mergeCell ref="L81:M81"/>
    <mergeCell ref="B80:I80"/>
    <mergeCell ref="J80:K80"/>
    <mergeCell ref="B81:C81"/>
    <mergeCell ref="D81:E81"/>
    <mergeCell ref="A78:C78"/>
    <mergeCell ref="D78:E78"/>
    <mergeCell ref="N80:P80"/>
    <mergeCell ref="O81:P81"/>
    <mergeCell ref="A79:P79"/>
    <mergeCell ref="J78:K78"/>
    <mergeCell ref="L78:M78"/>
    <mergeCell ref="O78:P78"/>
    <mergeCell ref="F78:G78"/>
    <mergeCell ref="H78:I78"/>
    <mergeCell ref="F77:J77"/>
    <mergeCell ref="L77:M77"/>
    <mergeCell ref="A75:P75"/>
    <mergeCell ref="B76:I76"/>
    <mergeCell ref="J76:K76"/>
    <mergeCell ref="N76:P76"/>
    <mergeCell ref="O77:P77"/>
    <mergeCell ref="B77:C77"/>
    <mergeCell ref="D77:E77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L73:M73"/>
    <mergeCell ref="A70:P70"/>
    <mergeCell ref="A71:E71"/>
    <mergeCell ref="F71:P71"/>
    <mergeCell ref="B72:I72"/>
    <mergeCell ref="J72:K72"/>
    <mergeCell ref="N72:P72"/>
    <mergeCell ref="O73:P73"/>
    <mergeCell ref="J69:K69"/>
    <mergeCell ref="L69:M69"/>
    <mergeCell ref="O69:P69"/>
    <mergeCell ref="B68:C68"/>
    <mergeCell ref="D68:E68"/>
    <mergeCell ref="A69:C69"/>
    <mergeCell ref="D69:E69"/>
    <mergeCell ref="F69:G69"/>
    <mergeCell ref="H69:I69"/>
    <mergeCell ref="F68:J68"/>
    <mergeCell ref="L68:M68"/>
    <mergeCell ref="A66:P66"/>
    <mergeCell ref="B67:I67"/>
    <mergeCell ref="J67:K67"/>
    <mergeCell ref="N67:P67"/>
    <mergeCell ref="O68:P68"/>
    <mergeCell ref="J65:K65"/>
    <mergeCell ref="L65:M65"/>
    <mergeCell ref="O65:P65"/>
    <mergeCell ref="B64:C64"/>
    <mergeCell ref="D64:E64"/>
    <mergeCell ref="A65:C65"/>
    <mergeCell ref="D65:E65"/>
    <mergeCell ref="F65:G65"/>
    <mergeCell ref="H65:I65"/>
    <mergeCell ref="F64:J64"/>
    <mergeCell ref="L64:M64"/>
    <mergeCell ref="A62:P62"/>
    <mergeCell ref="B63:I63"/>
    <mergeCell ref="J63:K63"/>
    <mergeCell ref="N63:P63"/>
    <mergeCell ref="O64:P64"/>
    <mergeCell ref="J61:K61"/>
    <mergeCell ref="L61:M61"/>
    <mergeCell ref="O61:P61"/>
    <mergeCell ref="B60:C60"/>
    <mergeCell ref="D60:E60"/>
    <mergeCell ref="A61:C61"/>
    <mergeCell ref="D61:E61"/>
    <mergeCell ref="F61:G61"/>
    <mergeCell ref="H61:I61"/>
    <mergeCell ref="F60:J60"/>
    <mergeCell ref="L60:M60"/>
    <mergeCell ref="A58:P58"/>
    <mergeCell ref="B59:I59"/>
    <mergeCell ref="J59:K59"/>
    <mergeCell ref="N59:P59"/>
    <mergeCell ref="O60:P60"/>
    <mergeCell ref="J57:K57"/>
    <mergeCell ref="L57:M57"/>
    <mergeCell ref="O57:P57"/>
    <mergeCell ref="B56:C56"/>
    <mergeCell ref="D56:E56"/>
    <mergeCell ref="A57:C57"/>
    <mergeCell ref="D57:E57"/>
    <mergeCell ref="F57:G57"/>
    <mergeCell ref="H57:I57"/>
    <mergeCell ref="F56:J56"/>
    <mergeCell ref="L56:M56"/>
    <mergeCell ref="A53:P53"/>
    <mergeCell ref="A54:E54"/>
    <mergeCell ref="F54:P54"/>
    <mergeCell ref="B55:I55"/>
    <mergeCell ref="J55:K55"/>
    <mergeCell ref="N55:P55"/>
    <mergeCell ref="O56:P56"/>
    <mergeCell ref="J52:K52"/>
    <mergeCell ref="L52:M52"/>
    <mergeCell ref="O52:P52"/>
    <mergeCell ref="B51:C51"/>
    <mergeCell ref="D51:E51"/>
    <mergeCell ref="A52:C52"/>
    <mergeCell ref="D52:E52"/>
    <mergeCell ref="F52:G52"/>
    <mergeCell ref="H52:I52"/>
    <mergeCell ref="F51:J51"/>
    <mergeCell ref="L51:M51"/>
    <mergeCell ref="A48:P48"/>
    <mergeCell ref="A49:E49"/>
    <mergeCell ref="F49:P49"/>
    <mergeCell ref="B50:I50"/>
    <mergeCell ref="J50:K50"/>
    <mergeCell ref="N50:P50"/>
    <mergeCell ref="O51:P51"/>
    <mergeCell ref="J47:K47"/>
    <mergeCell ref="L47:M47"/>
    <mergeCell ref="O47:P47"/>
    <mergeCell ref="B46:C46"/>
    <mergeCell ref="D46:E46"/>
    <mergeCell ref="A47:C47"/>
    <mergeCell ref="D47:E47"/>
    <mergeCell ref="F47:G47"/>
    <mergeCell ref="H47:I47"/>
    <mergeCell ref="F46:J46"/>
    <mergeCell ref="L46:M46"/>
    <mergeCell ref="A44:P44"/>
    <mergeCell ref="B45:I45"/>
    <mergeCell ref="J45:K45"/>
    <mergeCell ref="N45:P45"/>
    <mergeCell ref="O46:P46"/>
    <mergeCell ref="J43:K43"/>
    <mergeCell ref="L43:M43"/>
    <mergeCell ref="O43:P43"/>
    <mergeCell ref="B42:C42"/>
    <mergeCell ref="D42:E42"/>
    <mergeCell ref="A43:C43"/>
    <mergeCell ref="D43:E43"/>
    <mergeCell ref="F43:G43"/>
    <mergeCell ref="H43:I43"/>
    <mergeCell ref="F42:J42"/>
    <mergeCell ref="L42:M42"/>
    <mergeCell ref="A40:P40"/>
    <mergeCell ref="B41:I41"/>
    <mergeCell ref="J41:K41"/>
    <mergeCell ref="N41:P41"/>
    <mergeCell ref="O42:P42"/>
    <mergeCell ref="J39:K39"/>
    <mergeCell ref="L39:M39"/>
    <mergeCell ref="O39:P39"/>
    <mergeCell ref="B38:C38"/>
    <mergeCell ref="D38:E38"/>
    <mergeCell ref="A39:C39"/>
    <mergeCell ref="D39:E39"/>
    <mergeCell ref="F39:G39"/>
    <mergeCell ref="H39:I39"/>
    <mergeCell ref="F38:J38"/>
    <mergeCell ref="L38:M38"/>
    <mergeCell ref="A36:P36"/>
    <mergeCell ref="B37:I37"/>
    <mergeCell ref="J37:K37"/>
    <mergeCell ref="N37:P37"/>
    <mergeCell ref="O38:P38"/>
    <mergeCell ref="J35:K35"/>
    <mergeCell ref="L35:M35"/>
    <mergeCell ref="O35:P35"/>
    <mergeCell ref="B34:C34"/>
    <mergeCell ref="D34:E34"/>
    <mergeCell ref="A35:C35"/>
    <mergeCell ref="D35:E35"/>
    <mergeCell ref="F35:G35"/>
    <mergeCell ref="H35:I35"/>
    <mergeCell ref="F34:J34"/>
    <mergeCell ref="L34:M34"/>
    <mergeCell ref="A31:P31"/>
    <mergeCell ref="A32:E32"/>
    <mergeCell ref="F32:P32"/>
    <mergeCell ref="B33:I33"/>
    <mergeCell ref="J33:K33"/>
    <mergeCell ref="N33:P33"/>
    <mergeCell ref="O34:P34"/>
    <mergeCell ref="J30:K30"/>
    <mergeCell ref="L30:M30"/>
    <mergeCell ref="O30:P30"/>
    <mergeCell ref="B29:C29"/>
    <mergeCell ref="D29:E29"/>
    <mergeCell ref="A30:C30"/>
    <mergeCell ref="D30:E30"/>
    <mergeCell ref="F30:G30"/>
    <mergeCell ref="H30:I30"/>
    <mergeCell ref="F29:J29"/>
    <mergeCell ref="L29:M29"/>
    <mergeCell ref="A27:P27"/>
    <mergeCell ref="B28:I28"/>
    <mergeCell ref="J28:K28"/>
    <mergeCell ref="N28:P28"/>
    <mergeCell ref="O29:P29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A23:P23"/>
    <mergeCell ref="B24:I24"/>
    <mergeCell ref="J24:K24"/>
    <mergeCell ref="N24:P24"/>
    <mergeCell ref="O25:P25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1:M21"/>
    <mergeCell ref="A19:P19"/>
    <mergeCell ref="B20:I20"/>
    <mergeCell ref="J20:K20"/>
    <mergeCell ref="N20:P20"/>
    <mergeCell ref="O21:P21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17:M17"/>
    <mergeCell ref="A15:E15"/>
    <mergeCell ref="F15:P15"/>
    <mergeCell ref="B16:I16"/>
    <mergeCell ref="J16:K16"/>
    <mergeCell ref="N16:P16"/>
    <mergeCell ref="O17:P17"/>
    <mergeCell ref="A1:P1"/>
    <mergeCell ref="A4:P5"/>
    <mergeCell ref="A2:P2"/>
    <mergeCell ref="M3:N3"/>
    <mergeCell ref="O3:P3"/>
    <mergeCell ref="E3:L3"/>
    <mergeCell ref="A3:D3"/>
    <mergeCell ref="A13:C13"/>
    <mergeCell ref="D13:E13"/>
    <mergeCell ref="A14:P14"/>
    <mergeCell ref="J13:K13"/>
    <mergeCell ref="L13:M13"/>
    <mergeCell ref="O13:P13"/>
    <mergeCell ref="F13:G13"/>
    <mergeCell ref="H13:I13"/>
    <mergeCell ref="F12:J12"/>
    <mergeCell ref="L12:M12"/>
    <mergeCell ref="A10:P10"/>
    <mergeCell ref="B11:I11"/>
    <mergeCell ref="J11:K11"/>
    <mergeCell ref="N11:P11"/>
    <mergeCell ref="O12:P12"/>
    <mergeCell ref="B12:C12"/>
    <mergeCell ref="D12:E12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A6:E6"/>
    <mergeCell ref="F6:P6"/>
    <mergeCell ref="B7:I7"/>
    <mergeCell ref="J7:K7"/>
    <mergeCell ref="N7:P7"/>
    <mergeCell ref="O8:P8"/>
    <mergeCell ref="L122:M122"/>
    <mergeCell ref="A119:P119"/>
    <mergeCell ref="A120:E120"/>
    <mergeCell ref="F120:P120"/>
    <mergeCell ref="B121:I121"/>
    <mergeCell ref="J121:K121"/>
    <mergeCell ref="N121:P121"/>
    <mergeCell ref="O122:P122"/>
    <mergeCell ref="J123:K123"/>
    <mergeCell ref="L123:M123"/>
    <mergeCell ref="O123:P123"/>
    <mergeCell ref="B122:C122"/>
    <mergeCell ref="D122:E122"/>
    <mergeCell ref="A123:C123"/>
    <mergeCell ref="D123:E123"/>
    <mergeCell ref="F123:G123"/>
    <mergeCell ref="H123:I123"/>
    <mergeCell ref="F122:J122"/>
    <mergeCell ref="L126:M126"/>
    <mergeCell ref="A124:P124"/>
    <mergeCell ref="B125:I125"/>
    <mergeCell ref="J125:K125"/>
    <mergeCell ref="N125:P125"/>
    <mergeCell ref="O126:P126"/>
    <mergeCell ref="J127:K127"/>
    <mergeCell ref="L127:M127"/>
    <mergeCell ref="O127:P127"/>
    <mergeCell ref="B126:C126"/>
    <mergeCell ref="D126:E126"/>
    <mergeCell ref="A127:C127"/>
    <mergeCell ref="D127:E127"/>
    <mergeCell ref="F127:G127"/>
    <mergeCell ref="H127:I127"/>
    <mergeCell ref="F126:J126"/>
    <mergeCell ref="L131:M131"/>
    <mergeCell ref="A128:P128"/>
    <mergeCell ref="A129:E129"/>
    <mergeCell ref="F129:P129"/>
    <mergeCell ref="B130:I130"/>
    <mergeCell ref="J130:K130"/>
    <mergeCell ref="N130:P130"/>
    <mergeCell ref="O131:P131"/>
    <mergeCell ref="J132:K132"/>
    <mergeCell ref="L132:M132"/>
    <mergeCell ref="O132:P132"/>
    <mergeCell ref="B131:C131"/>
    <mergeCell ref="D131:E131"/>
    <mergeCell ref="A132:C132"/>
    <mergeCell ref="D132:E132"/>
    <mergeCell ref="F132:G132"/>
    <mergeCell ref="H132:I132"/>
    <mergeCell ref="F131:J131"/>
    <mergeCell ref="L135:M135"/>
    <mergeCell ref="A133:P133"/>
    <mergeCell ref="B134:I134"/>
    <mergeCell ref="J134:K134"/>
    <mergeCell ref="N134:P134"/>
    <mergeCell ref="O135:P135"/>
    <mergeCell ref="J136:K136"/>
    <mergeCell ref="L136:M136"/>
    <mergeCell ref="O136:P136"/>
    <mergeCell ref="B135:C135"/>
    <mergeCell ref="D135:E135"/>
    <mergeCell ref="A136:C136"/>
    <mergeCell ref="D136:E136"/>
    <mergeCell ref="F136:G136"/>
    <mergeCell ref="H136:I136"/>
    <mergeCell ref="F135:J135"/>
    <mergeCell ref="L140:M140"/>
    <mergeCell ref="A137:P137"/>
    <mergeCell ref="A138:E138"/>
    <mergeCell ref="F138:P138"/>
    <mergeCell ref="B139:I139"/>
    <mergeCell ref="J139:K139"/>
    <mergeCell ref="N139:P139"/>
    <mergeCell ref="O140:P140"/>
    <mergeCell ref="J141:K141"/>
    <mergeCell ref="L141:M141"/>
    <mergeCell ref="O141:P141"/>
    <mergeCell ref="B140:C140"/>
    <mergeCell ref="D140:E140"/>
    <mergeCell ref="A141:C141"/>
    <mergeCell ref="D141:E141"/>
    <mergeCell ref="F141:G141"/>
    <mergeCell ref="H141:I141"/>
    <mergeCell ref="F140:J140"/>
    <mergeCell ref="L145:M145"/>
    <mergeCell ref="A142:P142"/>
    <mergeCell ref="A143:E143"/>
    <mergeCell ref="F143:P143"/>
    <mergeCell ref="B144:I144"/>
    <mergeCell ref="J144:K144"/>
    <mergeCell ref="N144:P144"/>
    <mergeCell ref="O145:P145"/>
    <mergeCell ref="J146:K146"/>
    <mergeCell ref="L146:M146"/>
    <mergeCell ref="O146:P146"/>
    <mergeCell ref="B145:C145"/>
    <mergeCell ref="D145:E145"/>
    <mergeCell ref="A146:C146"/>
    <mergeCell ref="D146:E146"/>
    <mergeCell ref="F146:G146"/>
    <mergeCell ref="H146:I146"/>
    <mergeCell ref="F145:J145"/>
    <mergeCell ref="L150:M150"/>
    <mergeCell ref="A147:P147"/>
    <mergeCell ref="A148:E148"/>
    <mergeCell ref="F148:P148"/>
    <mergeCell ref="B149:I149"/>
    <mergeCell ref="J149:K149"/>
    <mergeCell ref="N149:P149"/>
    <mergeCell ref="O150:P150"/>
    <mergeCell ref="J151:K151"/>
    <mergeCell ref="L151:M151"/>
    <mergeCell ref="O151:P151"/>
    <mergeCell ref="B150:C150"/>
    <mergeCell ref="D150:E150"/>
    <mergeCell ref="A151:C151"/>
    <mergeCell ref="D151:E151"/>
    <mergeCell ref="F151:G151"/>
    <mergeCell ref="H151:I151"/>
    <mergeCell ref="F150:J150"/>
    <mergeCell ref="L154:M154"/>
    <mergeCell ref="A152:P152"/>
    <mergeCell ref="B153:I153"/>
    <mergeCell ref="J153:K153"/>
    <mergeCell ref="N153:P153"/>
    <mergeCell ref="O154:P154"/>
    <mergeCell ref="J155:K155"/>
    <mergeCell ref="L155:M155"/>
    <mergeCell ref="O155:P155"/>
    <mergeCell ref="B154:C154"/>
    <mergeCell ref="D154:E154"/>
    <mergeCell ref="A155:C155"/>
    <mergeCell ref="D155:E155"/>
    <mergeCell ref="F155:G155"/>
    <mergeCell ref="H155:I155"/>
    <mergeCell ref="F154:J154"/>
    <mergeCell ref="L158:M158"/>
    <mergeCell ref="A156:P156"/>
    <mergeCell ref="B157:I157"/>
    <mergeCell ref="J157:K157"/>
    <mergeCell ref="N157:P157"/>
    <mergeCell ref="O158:P158"/>
    <mergeCell ref="J159:K159"/>
    <mergeCell ref="L159:M159"/>
    <mergeCell ref="O159:P159"/>
    <mergeCell ref="B158:C158"/>
    <mergeCell ref="D158:E158"/>
    <mergeCell ref="A159:C159"/>
    <mergeCell ref="D159:E159"/>
    <mergeCell ref="F159:G159"/>
    <mergeCell ref="H159:I159"/>
    <mergeCell ref="F158:J15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70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9" t="s">
        <v>168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155"/>
    </row>
    <row r="2" spans="1:17" ht="13.5" thickBo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155"/>
    </row>
    <row r="3" spans="1:17" ht="13.5" thickBot="1">
      <c r="A3" s="393" t="s">
        <v>164</v>
      </c>
      <c r="B3" s="468"/>
      <c r="C3" s="468"/>
      <c r="D3" s="468"/>
      <c r="E3" s="469"/>
      <c r="F3" s="398"/>
      <c r="G3" s="399"/>
      <c r="H3" s="399"/>
      <c r="I3" s="399"/>
      <c r="J3" s="399"/>
      <c r="K3" s="399"/>
      <c r="L3" s="400"/>
      <c r="M3" s="396" t="s">
        <v>79</v>
      </c>
      <c r="N3" s="397"/>
      <c r="O3" s="394" t="str">
        <f>'[1]p1'!$H$4</f>
        <v>2008.1</v>
      </c>
      <c r="P3" s="395"/>
      <c r="Q3" s="155"/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155"/>
    </row>
    <row r="5" spans="1:17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155"/>
    </row>
    <row r="6" spans="1:19" s="40" customFormat="1" ht="11.25">
      <c r="A6" s="382" t="str">
        <f>T('[1]p7'!$C$13:$G$13)</f>
        <v>Antônio Pereira Brandão Júnior</v>
      </c>
      <c r="B6" s="381"/>
      <c r="C6" s="381"/>
      <c r="D6" s="381"/>
      <c r="E6" s="384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157"/>
      <c r="R6" s="39"/>
      <c r="S6" s="39"/>
    </row>
    <row r="7" spans="1:17" s="2" customFormat="1" ht="13.5" customHeight="1">
      <c r="A7" s="25" t="s">
        <v>72</v>
      </c>
      <c r="B7" s="443" t="str">
        <f>IF('[1]p7'!$A$110&lt;&gt;0,'[1]p7'!$A$110,"")</f>
        <v>Leomaques Francisco Silva Bernardo</v>
      </c>
      <c r="C7" s="443"/>
      <c r="D7" s="443"/>
      <c r="E7" s="443"/>
      <c r="F7" s="444"/>
      <c r="G7" s="26" t="s">
        <v>73</v>
      </c>
      <c r="H7" s="92">
        <f>IF('[1]p7'!$G$114&lt;&gt;0,'[1]p7'!$G$114,"")</f>
        <v>39489</v>
      </c>
      <c r="I7" s="26" t="s">
        <v>74</v>
      </c>
      <c r="J7" s="92">
        <f>IF('[1]p7'!$H$114&lt;&gt;0,'[1]p7'!$H$114,"")</f>
      </c>
      <c r="K7" s="26" t="s">
        <v>78</v>
      </c>
      <c r="L7" s="462" t="str">
        <f>IF('[1]p7'!$J$112&lt;&gt;0,'[1]p7'!$J$112,"")</f>
        <v>CAPES</v>
      </c>
      <c r="M7" s="462"/>
      <c r="N7" s="462"/>
      <c r="O7" s="462"/>
      <c r="P7" s="463"/>
      <c r="Q7" s="157"/>
    </row>
    <row r="8" spans="1:17" s="2" customFormat="1" ht="13.5" customHeight="1">
      <c r="A8" s="25" t="s">
        <v>75</v>
      </c>
      <c r="B8" s="379" t="str">
        <f>IF('[1]p7'!$A$112&lt;&gt;0,'[1]p7'!$A$112,"")</f>
        <v>Identidades e polinômios centrais para álgebras de matrizes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0"/>
      <c r="Q8" s="157"/>
    </row>
    <row r="9" spans="1:17" s="41" customFormat="1" ht="11.2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157"/>
    </row>
    <row r="10" spans="1:19" s="40" customFormat="1" ht="11.25">
      <c r="A10" s="382" t="str">
        <f>T('[1]p8'!$C$13:$G$13)</f>
        <v>Aparecido Jesuino de Souza</v>
      </c>
      <c r="B10" s="381"/>
      <c r="C10" s="381"/>
      <c r="D10" s="381"/>
      <c r="E10" s="384"/>
      <c r="F10" s="464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157"/>
      <c r="R10" s="39"/>
      <c r="S10" s="39"/>
    </row>
    <row r="11" spans="1:17" s="2" customFormat="1" ht="13.5" customHeight="1">
      <c r="A11" s="25" t="s">
        <v>72</v>
      </c>
      <c r="B11" s="443" t="str">
        <f>IF('[1]p8'!$A$110&lt;&gt;0,'[1]p8'!$A$110,"")</f>
        <v>Maria Joseane Felipe Guedes</v>
      </c>
      <c r="C11" s="443"/>
      <c r="D11" s="443"/>
      <c r="E11" s="443"/>
      <c r="F11" s="444"/>
      <c r="G11" s="26" t="s">
        <v>73</v>
      </c>
      <c r="H11" s="92">
        <f>IF('[1]p8'!$G$114&lt;&gt;0,'[1]p8'!$G$114,"")</f>
        <v>39142</v>
      </c>
      <c r="I11" s="26" t="s">
        <v>74</v>
      </c>
      <c r="J11" s="92">
        <f>IF('[1]p8'!$H$114&lt;&gt;0,'[1]p8'!$H$114,"")</f>
        <v>39872</v>
      </c>
      <c r="K11" s="26" t="s">
        <v>78</v>
      </c>
      <c r="L11" s="462" t="str">
        <f>IF('[1]p8'!$J$112&lt;&gt;0,'[1]p8'!$J$112,"")</f>
        <v>ANP</v>
      </c>
      <c r="M11" s="462"/>
      <c r="N11" s="462"/>
      <c r="O11" s="462"/>
      <c r="P11" s="463"/>
      <c r="Q11" s="157"/>
    </row>
    <row r="12" spans="1:17" s="2" customFormat="1" ht="13.5" customHeight="1">
      <c r="A12" s="25" t="s">
        <v>75</v>
      </c>
      <c r="B12" s="379" t="str">
        <f>IF('[1]p8'!$A$112&lt;&gt;0,'[1]p8'!$A$112,"")</f>
        <v>Estrutura de ondas para um modelo de escoamento trifásico com viscosidades das fases assimétricas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  <c r="Q12" s="157"/>
    </row>
    <row r="13" spans="1:17" s="41" customFormat="1" ht="11.2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157"/>
    </row>
    <row r="14" spans="1:17" s="2" customFormat="1" ht="13.5" customHeight="1">
      <c r="A14" s="25" t="s">
        <v>72</v>
      </c>
      <c r="B14" s="443" t="str">
        <f>IF('[1]p8'!$A$124&lt;&gt;0,'[1]p8'!$A$124,"")</f>
        <v>Luciano Martins Barros</v>
      </c>
      <c r="C14" s="443"/>
      <c r="D14" s="443"/>
      <c r="E14" s="443"/>
      <c r="F14" s="444"/>
      <c r="G14" s="26" t="s">
        <v>73</v>
      </c>
      <c r="H14" s="92">
        <f>IF('[1]p8'!$G$128&lt;&gt;0,'[1]p8'!$G$128,"")</f>
        <v>39517</v>
      </c>
      <c r="I14" s="26" t="s">
        <v>74</v>
      </c>
      <c r="J14" s="92">
        <f>IF('[1]p8'!$H$128&lt;&gt;0,'[1]p8'!$H$128,"")</f>
        <v>40237</v>
      </c>
      <c r="K14" s="26" t="s">
        <v>78</v>
      </c>
      <c r="L14" s="462" t="str">
        <f>IF('[1]p8'!$J$126&lt;&gt;0,'[1]p8'!$J$126,"")</f>
        <v>ANP</v>
      </c>
      <c r="M14" s="462"/>
      <c r="N14" s="462"/>
      <c r="O14" s="462"/>
      <c r="P14" s="463"/>
      <c r="Q14" s="157"/>
    </row>
    <row r="15" spans="1:17" s="2" customFormat="1" ht="13.5" customHeight="1">
      <c r="A15" s="25" t="s">
        <v>75</v>
      </c>
      <c r="B15" s="379" t="str">
        <f>IF('[1]p8'!$A$126&lt;&gt;0,'[1]p8'!$A$126,"")</f>
        <v>O problema de Riemann para um modelo de escoamento trifásico com viscosidades assimétricas e dados de produção genéricos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80"/>
      <c r="Q15" s="157"/>
    </row>
    <row r="16" spans="1:17" s="41" customFormat="1" ht="11.25">
      <c r="A16" s="461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157"/>
    </row>
    <row r="17" spans="1:17" s="2" customFormat="1" ht="13.5" customHeight="1">
      <c r="A17" s="25" t="s">
        <v>72</v>
      </c>
      <c r="B17" s="443" t="str">
        <f>IF('[1]p8'!$A$131&lt;&gt;0,'[1]p8'!$A$131,"")</f>
        <v>Désio Ramirez da Rocha Silva</v>
      </c>
      <c r="C17" s="443"/>
      <c r="D17" s="443"/>
      <c r="E17" s="443"/>
      <c r="F17" s="444"/>
      <c r="G17" s="26" t="s">
        <v>73</v>
      </c>
      <c r="H17" s="92">
        <f>IF('[1]p8'!$G$135&lt;&gt;0,'[1]p8'!$G$135,"")</f>
        <v>39539</v>
      </c>
      <c r="I17" s="26" t="s">
        <v>74</v>
      </c>
      <c r="J17" s="92">
        <f>IF('[1]p8'!$H$135&lt;&gt;0,'[1]p8'!$H$135,"")</f>
        <v>40237</v>
      </c>
      <c r="K17" s="26" t="s">
        <v>78</v>
      </c>
      <c r="L17" s="462" t="str">
        <f>IF('[1]p8'!$J$133&lt;&gt;0,'[1]p8'!$J$133,"")</f>
        <v>CNPq</v>
      </c>
      <c r="M17" s="462"/>
      <c r="N17" s="462"/>
      <c r="O17" s="462"/>
      <c r="P17" s="463"/>
      <c r="Q17" s="157"/>
    </row>
    <row r="18" spans="1:17" s="2" customFormat="1" ht="13.5" customHeight="1">
      <c r="A18" s="25" t="s">
        <v>75</v>
      </c>
      <c r="B18" s="379" t="str">
        <f>IF('[1]p8'!$A$133&lt;&gt;0,'[1]p8'!$A$133,"")</f>
        <v>Soluções das Equações de Navier-Stokes com Densidades Descontínuas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80"/>
      <c r="Q18" s="157"/>
    </row>
    <row r="19" spans="1:17" s="41" customFormat="1" ht="11.25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157"/>
    </row>
    <row r="20" spans="1:19" s="40" customFormat="1" ht="11.25">
      <c r="A20" s="382" t="str">
        <f>T('[1]p9'!$C$13:$G$13)</f>
        <v>Bianca Morelli Casalvara Caretta</v>
      </c>
      <c r="B20" s="381"/>
      <c r="C20" s="381"/>
      <c r="D20" s="381"/>
      <c r="E20" s="384"/>
      <c r="F20" s="464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157"/>
      <c r="R20" s="39"/>
      <c r="S20" s="39"/>
    </row>
    <row r="21" spans="1:17" s="2" customFormat="1" ht="13.5" customHeight="1">
      <c r="A21" s="25" t="s">
        <v>72</v>
      </c>
      <c r="B21" s="443" t="str">
        <f>IF('[1]p9'!$A$117&lt;&gt;0,'[1]p9'!$A$117,"")</f>
        <v>Francisca Leidmar Josué Vieira</v>
      </c>
      <c r="C21" s="443"/>
      <c r="D21" s="443"/>
      <c r="E21" s="443"/>
      <c r="F21" s="444"/>
      <c r="G21" s="26" t="s">
        <v>73</v>
      </c>
      <c r="H21" s="92">
        <f>IF('[1]p9'!$G$121&lt;&gt;0,'[1]p9'!$G$121,"")</f>
        <v>39524</v>
      </c>
      <c r="I21" s="26" t="s">
        <v>74</v>
      </c>
      <c r="J21" s="92">
        <f>IF('[1]p9'!$H$121&lt;&gt;0,'[1]p9'!$H$121,"")</f>
        <v>39904</v>
      </c>
      <c r="K21" s="26" t="s">
        <v>78</v>
      </c>
      <c r="L21" s="462" t="str">
        <f>IF('[1]p9'!$J$119&lt;&gt;0,'[1]p9'!$J$119,"")</f>
        <v>CAPES</v>
      </c>
      <c r="M21" s="462"/>
      <c r="N21" s="462"/>
      <c r="O21" s="462"/>
      <c r="P21" s="463"/>
      <c r="Q21" s="157"/>
    </row>
    <row r="22" spans="1:17" s="2" customFormat="1" ht="13.5" customHeight="1">
      <c r="A22" s="25" t="s">
        <v>75</v>
      </c>
      <c r="B22" s="379" t="str">
        <f>IF('[1]p9'!$A$119&lt;&gt;0,'[1]p9'!$A$119,"")</f>
        <v>A definir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80"/>
      <c r="Q22" s="157"/>
    </row>
    <row r="23" spans="1:17" s="41" customFormat="1" ht="11.25">
      <c r="A23" s="461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157"/>
    </row>
    <row r="24" spans="1:17" s="2" customFormat="1" ht="13.5" customHeight="1">
      <c r="A24" s="25" t="s">
        <v>72</v>
      </c>
      <c r="B24" s="443" t="str">
        <f>IF('[1]p9'!$A$124&lt;&gt;0,'[1]p9'!$A$124,"")</f>
        <v>Geizane Lima da Silva</v>
      </c>
      <c r="C24" s="443"/>
      <c r="D24" s="443"/>
      <c r="E24" s="443"/>
      <c r="F24" s="444"/>
      <c r="G24" s="26" t="s">
        <v>73</v>
      </c>
      <c r="H24" s="92">
        <f>IF('[1]p9'!$G$128&lt;&gt;0,'[1]p9'!$G$128,"")</f>
        <v>39524</v>
      </c>
      <c r="I24" s="26" t="s">
        <v>74</v>
      </c>
      <c r="J24" s="92">
        <f>IF('[1]p9'!$H$128&lt;&gt;0,'[1]p9'!$H$128,"")</f>
        <v>40254</v>
      </c>
      <c r="K24" s="26" t="s">
        <v>78</v>
      </c>
      <c r="L24" s="462" t="str">
        <f>IF('[1]p9'!$J$126&lt;&gt;0,'[1]p9'!$J$126,"")</f>
        <v>CAPES</v>
      </c>
      <c r="M24" s="462"/>
      <c r="N24" s="462"/>
      <c r="O24" s="462"/>
      <c r="P24" s="463"/>
      <c r="Q24" s="157"/>
    </row>
    <row r="25" spans="1:17" s="2" customFormat="1" ht="13.5" customHeight="1">
      <c r="A25" s="25" t="s">
        <v>75</v>
      </c>
      <c r="B25" s="379" t="str">
        <f>IF('[1]p9'!$A$126&lt;&gt;0,'[1]p9'!$A$126,"")</f>
        <v>A definir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80"/>
      <c r="Q25" s="157"/>
    </row>
    <row r="26" spans="1:17" s="41" customFormat="1" ht="11.25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157"/>
    </row>
    <row r="27" spans="1:19" s="40" customFormat="1" ht="11.25">
      <c r="A27" s="382" t="str">
        <f>T('[1]p10'!$C$13:$G$13)</f>
        <v>Bráulio Maia Junior</v>
      </c>
      <c r="B27" s="381"/>
      <c r="C27" s="381"/>
      <c r="D27" s="381"/>
      <c r="E27" s="384"/>
      <c r="F27" s="464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157"/>
      <c r="R27" s="39"/>
      <c r="S27" s="39"/>
    </row>
    <row r="28" spans="1:17" s="2" customFormat="1" ht="13.5" customHeight="1">
      <c r="A28" s="25" t="s">
        <v>72</v>
      </c>
      <c r="B28" s="443" t="str">
        <f>IF('[1]p10'!$A$110&lt;&gt;0,'[1]p10'!$A$110,"")</f>
        <v>José Eder Salvador de Vasconcelos</v>
      </c>
      <c r="C28" s="443"/>
      <c r="D28" s="443"/>
      <c r="E28" s="443"/>
      <c r="F28" s="444"/>
      <c r="G28" s="26" t="s">
        <v>73</v>
      </c>
      <c r="H28" s="92">
        <f>IF('[1]p10'!$G$114&lt;&gt;0,'[1]p10'!$G$114,"")</f>
        <v>39508</v>
      </c>
      <c r="I28" s="26" t="s">
        <v>74</v>
      </c>
      <c r="J28" s="92">
        <f>IF('[1]p10'!$H$114&lt;&gt;0,'[1]p10'!$H$114,"")</f>
        <v>40237</v>
      </c>
      <c r="K28" s="26" t="s">
        <v>78</v>
      </c>
      <c r="L28" s="462">
        <f>IF('[1]p10'!$J$112&lt;&gt;0,'[1]p10'!$J$112,"")</f>
      </c>
      <c r="M28" s="462"/>
      <c r="N28" s="462"/>
      <c r="O28" s="462"/>
      <c r="P28" s="463"/>
      <c r="Q28" s="157"/>
    </row>
    <row r="29" spans="1:17" s="2" customFormat="1" ht="13.5" customHeight="1">
      <c r="A29" s="25" t="s">
        <v>75</v>
      </c>
      <c r="B29" s="379">
        <f>IF('[1]p10'!$A$112&lt;&gt;0,'[1]p10'!$A$112,"")</f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80"/>
      <c r="Q29" s="157"/>
    </row>
    <row r="30" spans="1:17" s="41" customFormat="1" ht="11.25">
      <c r="A30" s="461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157"/>
    </row>
    <row r="31" spans="1:19" s="40" customFormat="1" ht="11.25">
      <c r="A31" s="382" t="str">
        <f>T('[1]p11'!$C$13:$G$13)</f>
        <v>Claudianor Oliveira Alves</v>
      </c>
      <c r="B31" s="381"/>
      <c r="C31" s="381"/>
      <c r="D31" s="381"/>
      <c r="E31" s="384"/>
      <c r="F31" s="464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157"/>
      <c r="R31" s="39"/>
      <c r="S31" s="39"/>
    </row>
    <row r="32" spans="1:17" s="2" customFormat="1" ht="13.5" customHeight="1">
      <c r="A32" s="25" t="s">
        <v>72</v>
      </c>
      <c r="B32" s="443" t="str">
        <f>IF('[1]p11'!$A$110&lt;&gt;0,'[1]p11'!$A$110,"")</f>
        <v>Luciana Roze de Freitas </v>
      </c>
      <c r="C32" s="443"/>
      <c r="D32" s="443"/>
      <c r="E32" s="443"/>
      <c r="F32" s="444"/>
      <c r="G32" s="26" t="s">
        <v>73</v>
      </c>
      <c r="H32" s="92">
        <f>IF('[1]p11'!$G$114&lt;&gt;0,'[1]p11'!$G$114,"")</f>
        <v>39142</v>
      </c>
      <c r="I32" s="26" t="s">
        <v>74</v>
      </c>
      <c r="J32" s="92">
        <f>IF('[1]p11'!$H$114&lt;&gt;0,'[1]p11'!$H$114,"")</f>
        <v>40603</v>
      </c>
      <c r="K32" s="26" t="s">
        <v>78</v>
      </c>
      <c r="L32" s="462">
        <f>IF('[1]p11'!$J$112&lt;&gt;0,'[1]p11'!$J$112,"")</f>
      </c>
      <c r="M32" s="462"/>
      <c r="N32" s="462"/>
      <c r="O32" s="462"/>
      <c r="P32" s="463"/>
      <c r="Q32" s="157"/>
    </row>
    <row r="33" spans="1:17" s="2" customFormat="1" ht="13.5" customHeight="1">
      <c r="A33" s="25" t="s">
        <v>75</v>
      </c>
      <c r="B33" s="379" t="str">
        <f>IF('[1]p11'!$A$112&lt;&gt;0,'[1]p11'!$A$112,"")</f>
        <v>A definir 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80"/>
      <c r="Q33" s="157"/>
    </row>
    <row r="34" spans="1:17" s="41" customFormat="1" ht="11.25">
      <c r="A34" s="461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157"/>
    </row>
    <row r="35" spans="1:17" s="2" customFormat="1" ht="13.5" customHeight="1">
      <c r="A35" s="25" t="s">
        <v>72</v>
      </c>
      <c r="B35" s="443" t="str">
        <f>IF('[1]p11'!$A$117&lt;&gt;0,'[1]p11'!$A$117,"")</f>
        <v>Jéssica Lange Ferreira Melo</v>
      </c>
      <c r="C35" s="443"/>
      <c r="D35" s="443"/>
      <c r="E35" s="443"/>
      <c r="F35" s="444"/>
      <c r="G35" s="26" t="s">
        <v>73</v>
      </c>
      <c r="H35" s="92">
        <f>IF('[1]p11'!$G$121&lt;&gt;0,'[1]p11'!$G$121,"")</f>
        <v>39508</v>
      </c>
      <c r="I35" s="26" t="s">
        <v>74</v>
      </c>
      <c r="J35" s="92">
        <f>IF('[1]p11'!$H$121&lt;&gt;0,'[1]p11'!$H$121,"")</f>
        <v>39845</v>
      </c>
      <c r="K35" s="26" t="s">
        <v>78</v>
      </c>
      <c r="L35" s="462" t="str">
        <f>IF('[1]p11'!$J$119&lt;&gt;0,'[1]p11'!$J$119,"")</f>
        <v>CNPq</v>
      </c>
      <c r="M35" s="462"/>
      <c r="N35" s="462"/>
      <c r="O35" s="462"/>
      <c r="P35" s="463"/>
      <c r="Q35" s="157"/>
    </row>
    <row r="36" spans="1:17" s="2" customFormat="1" ht="13.5" customHeight="1">
      <c r="A36" s="25" t="s">
        <v>75</v>
      </c>
      <c r="B36" s="379" t="str">
        <f>IF('[1]p11'!$A$119&lt;&gt;0,'[1]p11'!$A$119,"")</f>
        <v>A definir 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157"/>
    </row>
    <row r="37" spans="1:17" s="171" customFormat="1" ht="11.25">
      <c r="A37" s="466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170"/>
    </row>
    <row r="38" spans="1:19" s="40" customFormat="1" ht="11.25">
      <c r="A38" s="382" t="str">
        <f>T('[1]p12'!$C$13:$G$13)</f>
        <v>Daniel Cordeiro de Morais Filho</v>
      </c>
      <c r="B38" s="381"/>
      <c r="C38" s="381"/>
      <c r="D38" s="381"/>
      <c r="E38" s="384"/>
      <c r="F38" s="464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157"/>
      <c r="R38" s="39"/>
      <c r="S38" s="39"/>
    </row>
    <row r="39" spans="1:17" s="2" customFormat="1" ht="13.5" customHeight="1">
      <c r="A39" s="25" t="s">
        <v>72</v>
      </c>
      <c r="B39" s="443" t="str">
        <f>IF('[1]p12'!$A$110&lt;&gt;0,'[1]p12'!$A$110,"")</f>
        <v>Jackson Jonas Silva Costa</v>
      </c>
      <c r="C39" s="443"/>
      <c r="D39" s="443"/>
      <c r="E39" s="443"/>
      <c r="F39" s="444"/>
      <c r="G39" s="26" t="s">
        <v>73</v>
      </c>
      <c r="H39" s="92">
        <f>IF('[1]p12'!$G$114&lt;&gt;0,'[1]p12'!$G$114,"")</f>
        <v>39661</v>
      </c>
      <c r="I39" s="26" t="s">
        <v>74</v>
      </c>
      <c r="J39" s="92">
        <f>IF('[1]p12'!$H$114&lt;&gt;0,'[1]p12'!$H$114,"")</f>
      </c>
      <c r="K39" s="26" t="s">
        <v>78</v>
      </c>
      <c r="L39" s="462">
        <f>IF('[1]p12'!$J$112&lt;&gt;0,'[1]p12'!$J$112,"")</f>
      </c>
      <c r="M39" s="462"/>
      <c r="N39" s="462"/>
      <c r="O39" s="462"/>
      <c r="P39" s="463"/>
      <c r="Q39" s="157"/>
    </row>
    <row r="40" spans="1:17" s="2" customFormat="1" ht="13.5" customHeight="1">
      <c r="A40" s="25" t="s">
        <v>75</v>
      </c>
      <c r="B40" s="379" t="str">
        <f>IF('[1]p12'!$A$112&lt;&gt;0,'[1]p12'!$A$112,"")</f>
        <v>ESTUDOS EM EDP´S ELÍPTICAS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80"/>
      <c r="Q40" s="157"/>
    </row>
    <row r="41" spans="1:17" s="41" customFormat="1" ht="11.25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157"/>
    </row>
    <row r="42" spans="1:19" s="40" customFormat="1" ht="11.25">
      <c r="A42" s="382" t="str">
        <f>T('[1]p15'!$C$13:$G$13)</f>
        <v>Francisco Júlio Sobreira de A. Corrêa</v>
      </c>
      <c r="B42" s="381"/>
      <c r="C42" s="381"/>
      <c r="D42" s="381"/>
      <c r="E42" s="384"/>
      <c r="F42" s="464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157"/>
      <c r="R42" s="39"/>
      <c r="S42" s="39"/>
    </row>
    <row r="43" spans="1:17" s="2" customFormat="1" ht="13.5" customHeight="1">
      <c r="A43" s="25" t="s">
        <v>72</v>
      </c>
      <c r="B43" s="443" t="str">
        <f>IF('[1]p15'!$A$110&lt;&gt;0,'[1]p15'!$A$110,"")</f>
        <v>Francisca Leidmar Josué Vieira</v>
      </c>
      <c r="C43" s="443"/>
      <c r="D43" s="443"/>
      <c r="E43" s="443"/>
      <c r="F43" s="444"/>
      <c r="G43" s="26" t="s">
        <v>73</v>
      </c>
      <c r="H43" s="92">
        <f>IF('[1]p15'!$G$114&lt;&gt;0,'[1]p15'!$G$114,"")</f>
        <v>39661</v>
      </c>
      <c r="I43" s="26" t="s">
        <v>74</v>
      </c>
      <c r="J43" s="92">
        <f>IF('[1]p15'!$H$114&lt;&gt;0,'[1]p15'!$H$114,"")</f>
        <v>39872</v>
      </c>
      <c r="K43" s="26" t="s">
        <v>78</v>
      </c>
      <c r="L43" s="462" t="str">
        <f>IF('[1]p15'!$J$112&lt;&gt;0,'[1]p15'!$J$112,"")</f>
        <v>CAPES</v>
      </c>
      <c r="M43" s="462"/>
      <c r="N43" s="462"/>
      <c r="O43" s="462"/>
      <c r="P43" s="463"/>
      <c r="Q43" s="157"/>
    </row>
    <row r="44" spans="1:17" s="2" customFormat="1" ht="13.5" customHeight="1">
      <c r="A44" s="25" t="s">
        <v>75</v>
      </c>
      <c r="B44" s="379" t="str">
        <f>IF('[1]p15'!$A$112&lt;&gt;0,'[1]p15'!$A$112,"")</f>
        <v>Soluções Esatcionárias de Sistemas de Reação-Difusão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80"/>
      <c r="Q44" s="157"/>
    </row>
    <row r="45" spans="1:17" s="41" customFormat="1" ht="11.25">
      <c r="A45" s="461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157"/>
    </row>
    <row r="46" spans="1:19" s="40" customFormat="1" ht="11.25">
      <c r="A46" s="382" t="str">
        <f>T('[1]p17'!$C$13:$G$13)</f>
        <v>Henrique Fernandes de Lima</v>
      </c>
      <c r="B46" s="381"/>
      <c r="C46" s="381"/>
      <c r="D46" s="381"/>
      <c r="E46" s="384"/>
      <c r="F46" s="464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157"/>
      <c r="R46" s="39"/>
      <c r="S46" s="39"/>
    </row>
    <row r="47" spans="1:17" s="2" customFormat="1" ht="13.5" customHeight="1">
      <c r="A47" s="25" t="s">
        <v>72</v>
      </c>
      <c r="B47" s="443" t="str">
        <f>IF('[1]p17'!$A$110&lt;&gt;0,'[1]p17'!$A$110,"")</f>
        <v>Daniel Pinheiro Sobreira</v>
      </c>
      <c r="C47" s="443"/>
      <c r="D47" s="443"/>
      <c r="E47" s="443"/>
      <c r="F47" s="444"/>
      <c r="G47" s="26" t="s">
        <v>73</v>
      </c>
      <c r="H47" s="92">
        <f>IF('[1]p17'!$G$114&lt;&gt;0,'[1]p17'!$G$114,"")</f>
        <v>39295</v>
      </c>
      <c r="I47" s="26" t="s">
        <v>74</v>
      </c>
      <c r="J47" s="92">
        <f>IF('[1]p17'!$H$114&lt;&gt;0,'[1]p17'!$H$114,"")</f>
        <v>39645</v>
      </c>
      <c r="K47" s="26" t="s">
        <v>78</v>
      </c>
      <c r="L47" s="462" t="str">
        <f>IF('[1]p17'!$J$112&lt;&gt;0,'[1]p17'!$J$112,"")</f>
        <v>CAPES</v>
      </c>
      <c r="M47" s="462"/>
      <c r="N47" s="462"/>
      <c r="O47" s="462"/>
      <c r="P47" s="463"/>
      <c r="Q47" s="157"/>
    </row>
    <row r="48" spans="1:17" s="2" customFormat="1" ht="13.5" customHeight="1">
      <c r="A48" s="25" t="s">
        <v>75</v>
      </c>
      <c r="B48" s="379" t="str">
        <f>IF('[1]p17'!$A$112&lt;&gt;0,'[1]p17'!$A$112,"")</f>
        <v>O Teorema de Malgrange-Ehrenpreis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  <c r="Q48" s="157"/>
    </row>
    <row r="49" spans="1:17" s="41" customFormat="1" ht="11.25">
      <c r="A49" s="461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157"/>
    </row>
    <row r="50" spans="1:19" s="40" customFormat="1" ht="11.25">
      <c r="A50" s="382" t="str">
        <f>T('[1]p26'!$C$13:$G$13)</f>
        <v>Marco Aurélio Soares Souto</v>
      </c>
      <c r="B50" s="381"/>
      <c r="C50" s="381"/>
      <c r="D50" s="381"/>
      <c r="E50" s="384"/>
      <c r="F50" s="464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157"/>
      <c r="R50" s="39"/>
      <c r="S50" s="39"/>
    </row>
    <row r="51" spans="1:17" s="2" customFormat="1" ht="13.5" customHeight="1">
      <c r="A51" s="25" t="s">
        <v>72</v>
      </c>
      <c r="B51" s="443" t="str">
        <f>IF('[1]p26'!$A$110&lt;&gt;0,'[1]p26'!$A$110,"")</f>
        <v>Rawlilson de Oliveira Araújo</v>
      </c>
      <c r="C51" s="443"/>
      <c r="D51" s="443"/>
      <c r="E51" s="443"/>
      <c r="F51" s="444"/>
      <c r="G51" s="26" t="s">
        <v>73</v>
      </c>
      <c r="H51" s="92">
        <f>IF('[1]p26'!$G$114&lt;&gt;0,'[1]p26'!$G$114,"")</f>
        <v>39142</v>
      </c>
      <c r="I51" s="26" t="s">
        <v>74</v>
      </c>
      <c r="J51" s="92">
        <f>IF('[1]p26'!$H$114&lt;&gt;0,'[1]p26'!$H$114,"")</f>
        <v>39872</v>
      </c>
      <c r="K51" s="26" t="s">
        <v>78</v>
      </c>
      <c r="L51" s="462" t="str">
        <f>IF('[1]p26'!$J$112&lt;&gt;0,'[1]p26'!$J$112,"")</f>
        <v>CNPq</v>
      </c>
      <c r="M51" s="462"/>
      <c r="N51" s="462"/>
      <c r="O51" s="462"/>
      <c r="P51" s="463"/>
      <c r="Q51" s="157"/>
    </row>
    <row r="52" spans="1:17" s="2" customFormat="1" ht="13.5" customHeight="1">
      <c r="A52" s="25" t="s">
        <v>75</v>
      </c>
      <c r="B52" s="379" t="str">
        <f>IF('[1]p26'!$A$112&lt;&gt;0,'[1]p26'!$A$112,"")</f>
        <v>Soluções multivortex em toro bidimensional (Port. 013/PPGMat)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80"/>
      <c r="Q52" s="157"/>
    </row>
    <row r="53" spans="1:17" s="41" customFormat="1" ht="11.25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157"/>
    </row>
    <row r="54" spans="1:17" s="2" customFormat="1" ht="13.5" customHeight="1">
      <c r="A54" s="25" t="s">
        <v>72</v>
      </c>
      <c r="B54" s="443" t="str">
        <f>IF('[1]p26'!$A$117&lt;&gt;0,'[1]p26'!$A$117,"")</f>
        <v>Rodrigo Cohen Nemer</v>
      </c>
      <c r="C54" s="443"/>
      <c r="D54" s="443"/>
      <c r="E54" s="443"/>
      <c r="F54" s="444"/>
      <c r="G54" s="26" t="s">
        <v>73</v>
      </c>
      <c r="H54" s="92">
        <f>IF('[1]p26'!$G$121&lt;&gt;0,'[1]p26'!$G$121,"")</f>
        <v>39508</v>
      </c>
      <c r="I54" s="26" t="s">
        <v>74</v>
      </c>
      <c r="J54" s="92">
        <f>IF('[1]p26'!$H$121&lt;&gt;0,'[1]p26'!$H$121,"")</f>
        <v>39872</v>
      </c>
      <c r="K54" s="26" t="s">
        <v>78</v>
      </c>
      <c r="L54" s="462" t="str">
        <f>IF('[1]p26'!$J$119&lt;&gt;0,'[1]p26'!$J$119,"")</f>
        <v>CAPES</v>
      </c>
      <c r="M54" s="462"/>
      <c r="N54" s="462"/>
      <c r="O54" s="462"/>
      <c r="P54" s="463"/>
      <c r="Q54" s="157"/>
    </row>
    <row r="55" spans="1:17" s="2" customFormat="1" ht="13.5" customHeight="1">
      <c r="A55" s="25" t="s">
        <v>75</v>
      </c>
      <c r="B55" s="379" t="str">
        <f>IF('[1]p26'!$A$119&lt;&gt;0,'[1]p26'!$A$119,"")</f>
        <v>Problemas com falta de compacidade</v>
      </c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80"/>
      <c r="Q55" s="157"/>
    </row>
    <row r="56" spans="1:17" s="41" customFormat="1" ht="11.25">
      <c r="A56" s="460"/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157"/>
    </row>
    <row r="57" spans="1:19" s="40" customFormat="1" ht="11.25">
      <c r="A57" s="382" t="str">
        <f>T('[1]p28'!$C$13:$G$13)</f>
        <v>Michelli Karinne Barros da Silva</v>
      </c>
      <c r="B57" s="381"/>
      <c r="C57" s="381"/>
      <c r="D57" s="381"/>
      <c r="E57" s="384"/>
      <c r="F57" s="464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157"/>
      <c r="R57" s="39"/>
      <c r="S57" s="39"/>
    </row>
    <row r="58" spans="1:17" s="2" customFormat="1" ht="13.5" customHeight="1">
      <c r="A58" s="25" t="s">
        <v>72</v>
      </c>
      <c r="B58" s="443" t="str">
        <f>IF('[1]p28'!$A$110&lt;&gt;0,'[1]p28'!$A$110,"")</f>
        <v>José Iraponil Costa Lima</v>
      </c>
      <c r="C58" s="443"/>
      <c r="D58" s="443"/>
      <c r="E58" s="443"/>
      <c r="F58" s="444"/>
      <c r="G58" s="26" t="s">
        <v>73</v>
      </c>
      <c r="H58" s="92">
        <f>IF('[1]p28'!$G$114&lt;&gt;0,'[1]p28'!$G$114,"")</f>
        <v>39153</v>
      </c>
      <c r="I58" s="26" t="s">
        <v>74</v>
      </c>
      <c r="J58" s="92">
        <f>IF('[1]p28'!$H$114&lt;&gt;0,'[1]p28'!$H$114,"")</f>
        <v>39703</v>
      </c>
      <c r="K58" s="26" t="s">
        <v>78</v>
      </c>
      <c r="L58" s="462" t="str">
        <f>IF('[1]p28'!$J$112&lt;&gt;0,'[1]p28'!$J$112,"")</f>
        <v>Não há</v>
      </c>
      <c r="M58" s="462"/>
      <c r="N58" s="462"/>
      <c r="O58" s="462"/>
      <c r="P58" s="463"/>
      <c r="Q58" s="157"/>
    </row>
    <row r="59" spans="1:17" s="2" customFormat="1" ht="13.5" customHeight="1">
      <c r="A59" s="25" t="s">
        <v>75</v>
      </c>
      <c r="B59" s="379" t="str">
        <f>IF('[1]p28'!$A$112&lt;&gt;0,'[1]p28'!$A$112,"")</f>
        <v>Diagnóstico baseado na influência local conforme para modelos de regressão log-Birnbaum-Saunders</v>
      </c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80"/>
      <c r="Q59" s="157"/>
    </row>
    <row r="60" spans="1:17" s="41" customFormat="1" ht="11.25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157"/>
    </row>
    <row r="61" spans="1:19" s="40" customFormat="1" ht="11.25">
      <c r="A61" s="382" t="str">
        <f>T('[1]p33'!$C$13:$G$13)</f>
        <v>Sérgio Mota Alves</v>
      </c>
      <c r="B61" s="381"/>
      <c r="C61" s="381"/>
      <c r="D61" s="381"/>
      <c r="E61" s="384"/>
      <c r="F61" s="464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157"/>
      <c r="R61" s="39"/>
      <c r="S61" s="39"/>
    </row>
    <row r="62" spans="1:17" s="2" customFormat="1" ht="13.5" customHeight="1">
      <c r="A62" s="25" t="s">
        <v>72</v>
      </c>
      <c r="B62" s="443" t="str">
        <f>IF('[1]p33'!$A$110&lt;&gt;0,'[1]p33'!$A$110,"")</f>
        <v>Rivaldo do Nascimento Junior</v>
      </c>
      <c r="C62" s="443"/>
      <c r="D62" s="443"/>
      <c r="E62" s="443"/>
      <c r="F62" s="444"/>
      <c r="G62" s="26" t="s">
        <v>73</v>
      </c>
      <c r="H62" s="92">
        <f>IF('[1]p33'!$G$114&lt;&gt;0,'[1]p33'!$G$114,"")</f>
        <v>39142</v>
      </c>
      <c r="I62" s="26" t="s">
        <v>74</v>
      </c>
      <c r="J62" s="92">
        <f>IF('[1]p33'!$H$114&lt;&gt;0,'[1]p33'!$H$114,"")</f>
      </c>
      <c r="K62" s="26" t="s">
        <v>78</v>
      </c>
      <c r="L62" s="462">
        <f>IF('[1]p33'!$J$112&lt;&gt;0,'[1]p33'!$J$112,"")</f>
      </c>
      <c r="M62" s="462"/>
      <c r="N62" s="462"/>
      <c r="O62" s="462"/>
      <c r="P62" s="463"/>
      <c r="Q62" s="157"/>
    </row>
    <row r="63" spans="1:17" s="2" customFormat="1" ht="13.5" customHeight="1">
      <c r="A63" s="25" t="s">
        <v>75</v>
      </c>
      <c r="B63" s="379" t="str">
        <f>IF('[1]p33'!$A$112&lt;&gt;0,'[1]p33'!$A$112,"")</f>
        <v>Matrizes Triangulares em Blocos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  <c r="Q63" s="157"/>
    </row>
    <row r="64" spans="1:17" s="41" customFormat="1" ht="11.25">
      <c r="A64" s="461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157"/>
    </row>
    <row r="65" spans="1:17" s="2" customFormat="1" ht="13.5" customHeight="1">
      <c r="A65" s="25" t="s">
        <v>72</v>
      </c>
      <c r="B65" s="443" t="str">
        <f>IF('[1]p33'!$A$117&lt;&gt;0,'[1]p33'!$A$117,"")</f>
        <v>Suene Ferreira Campos</v>
      </c>
      <c r="C65" s="443"/>
      <c r="D65" s="443"/>
      <c r="E65" s="443"/>
      <c r="F65" s="444"/>
      <c r="G65" s="26" t="s">
        <v>73</v>
      </c>
      <c r="H65" s="92">
        <f>IF('[1]p33'!$G$121&lt;&gt;0,'[1]p33'!$G$121,"")</f>
        <v>39142</v>
      </c>
      <c r="I65" s="26" t="s">
        <v>74</v>
      </c>
      <c r="J65" s="92">
        <f>IF('[1]p33'!$H$121&lt;&gt;0,'[1]p33'!$H$121,"")</f>
      </c>
      <c r="K65" s="26" t="s">
        <v>78</v>
      </c>
      <c r="L65" s="462" t="str">
        <f>IF('[1]p33'!$J$119&lt;&gt;0,'[1]p33'!$J$119,"")</f>
        <v>CNPq</v>
      </c>
      <c r="M65" s="462"/>
      <c r="N65" s="462"/>
      <c r="O65" s="462"/>
      <c r="P65" s="463"/>
      <c r="Q65" s="157"/>
    </row>
    <row r="66" spans="1:17" s="2" customFormat="1" ht="13.5" customHeight="1">
      <c r="A66" s="25" t="s">
        <v>75</v>
      </c>
      <c r="B66" s="379" t="str">
        <f>IF('[1]p33'!$A$119&lt;&gt;0,'[1]p33'!$A$119,"")</f>
        <v>O Teorema  do Produto Tensorial de Kemer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80"/>
      <c r="Q66" s="157"/>
    </row>
    <row r="67" spans="1:17" s="41" customFormat="1" ht="11.25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157"/>
    </row>
    <row r="68" spans="1:17" s="2" customFormat="1" ht="13.5" customHeight="1">
      <c r="A68" s="25" t="s">
        <v>72</v>
      </c>
      <c r="B68" s="443" t="str">
        <f>IF('[1]p33'!$A$124&lt;&gt;0,'[1]p33'!$A$124,"")</f>
        <v>Carlos David Lobão</v>
      </c>
      <c r="C68" s="443"/>
      <c r="D68" s="443"/>
      <c r="E68" s="443"/>
      <c r="F68" s="444"/>
      <c r="G68" s="26" t="s">
        <v>73</v>
      </c>
      <c r="H68" s="92" t="str">
        <f>IF('[1]p33'!$G$128&lt;&gt;0,'[1]p33'!$G$128,"")</f>
        <v>01.03.08</v>
      </c>
      <c r="I68" s="26" t="s">
        <v>74</v>
      </c>
      <c r="J68" s="92">
        <f>IF('[1]p33'!$H$128&lt;&gt;0,'[1]p33'!$H$128,"")</f>
      </c>
      <c r="K68" s="26" t="s">
        <v>78</v>
      </c>
      <c r="L68" s="462">
        <f>IF('[1]p33'!$J$126&lt;&gt;0,'[1]p33'!$J$126,"")</f>
      </c>
      <c r="M68" s="462"/>
      <c r="N68" s="462"/>
      <c r="O68" s="462"/>
      <c r="P68" s="463"/>
      <c r="Q68" s="157"/>
    </row>
    <row r="69" spans="1:17" s="2" customFormat="1" ht="13.5" customHeight="1">
      <c r="A69" s="25" t="s">
        <v>75</v>
      </c>
      <c r="B69" s="379" t="str">
        <f>IF('[1]p33'!$A$126&lt;&gt;0,'[1]p33'!$A$126,"")</f>
        <v>GK-Dimensão</v>
      </c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80"/>
      <c r="Q69" s="157"/>
    </row>
  </sheetData>
  <sheetProtection password="CEFE" sheet="1" objects="1" scenarios="1"/>
  <mergeCells count="100">
    <mergeCell ref="B59:P59"/>
    <mergeCell ref="A57:E57"/>
    <mergeCell ref="F57:P57"/>
    <mergeCell ref="B58:F58"/>
    <mergeCell ref="L58:P58"/>
    <mergeCell ref="F50:P50"/>
    <mergeCell ref="B51:F51"/>
    <mergeCell ref="L51:P51"/>
    <mergeCell ref="A56:P56"/>
    <mergeCell ref="B55:P55"/>
    <mergeCell ref="B52:P52"/>
    <mergeCell ref="A53:P53"/>
    <mergeCell ref="B54:F54"/>
    <mergeCell ref="L54:P54"/>
    <mergeCell ref="A1:P1"/>
    <mergeCell ref="A4:P5"/>
    <mergeCell ref="A2:P2"/>
    <mergeCell ref="M3:N3"/>
    <mergeCell ref="O3:P3"/>
    <mergeCell ref="F3:L3"/>
    <mergeCell ref="A3:E3"/>
    <mergeCell ref="A6:E6"/>
    <mergeCell ref="F6:P6"/>
    <mergeCell ref="B7:F7"/>
    <mergeCell ref="L7:P7"/>
    <mergeCell ref="B8:P8"/>
    <mergeCell ref="A9:P9"/>
    <mergeCell ref="A10:E10"/>
    <mergeCell ref="F10:P10"/>
    <mergeCell ref="B11:F11"/>
    <mergeCell ref="L11:P11"/>
    <mergeCell ref="B12:P12"/>
    <mergeCell ref="A13:P13"/>
    <mergeCell ref="B14:F14"/>
    <mergeCell ref="L14:P14"/>
    <mergeCell ref="B15:P15"/>
    <mergeCell ref="A16:P16"/>
    <mergeCell ref="B17:F17"/>
    <mergeCell ref="L17:P17"/>
    <mergeCell ref="B18:P18"/>
    <mergeCell ref="A19:P19"/>
    <mergeCell ref="A20:E20"/>
    <mergeCell ref="F20:P20"/>
    <mergeCell ref="B21:F21"/>
    <mergeCell ref="L21:P21"/>
    <mergeCell ref="B22:P22"/>
    <mergeCell ref="A23:P23"/>
    <mergeCell ref="B24:F24"/>
    <mergeCell ref="L24:P24"/>
    <mergeCell ref="B25:P25"/>
    <mergeCell ref="A27:E27"/>
    <mergeCell ref="F27:P27"/>
    <mergeCell ref="B28:F28"/>
    <mergeCell ref="L28:P28"/>
    <mergeCell ref="A26:P26"/>
    <mergeCell ref="B29:P29"/>
    <mergeCell ref="A31:E31"/>
    <mergeCell ref="F31:P31"/>
    <mergeCell ref="B32:F32"/>
    <mergeCell ref="L32:P32"/>
    <mergeCell ref="A30:P30"/>
    <mergeCell ref="B33:P33"/>
    <mergeCell ref="A34:P34"/>
    <mergeCell ref="B35:F35"/>
    <mergeCell ref="L35:P35"/>
    <mergeCell ref="B36:P36"/>
    <mergeCell ref="A38:E38"/>
    <mergeCell ref="F38:P38"/>
    <mergeCell ref="B39:F39"/>
    <mergeCell ref="L39:P39"/>
    <mergeCell ref="A37:P37"/>
    <mergeCell ref="B40:P40"/>
    <mergeCell ref="A61:E61"/>
    <mergeCell ref="F61:P61"/>
    <mergeCell ref="B62:F62"/>
    <mergeCell ref="L62:P62"/>
    <mergeCell ref="B44:P44"/>
    <mergeCell ref="A42:E42"/>
    <mergeCell ref="F42:P42"/>
    <mergeCell ref="B43:F43"/>
    <mergeCell ref="L43:P43"/>
    <mergeCell ref="B69:P69"/>
    <mergeCell ref="B66:P66"/>
    <mergeCell ref="A67:P67"/>
    <mergeCell ref="B68:F68"/>
    <mergeCell ref="L68:P68"/>
    <mergeCell ref="B63:P63"/>
    <mergeCell ref="A64:P64"/>
    <mergeCell ref="B65:F65"/>
    <mergeCell ref="L65:P65"/>
    <mergeCell ref="A60:P60"/>
    <mergeCell ref="A41:P41"/>
    <mergeCell ref="A45:P45"/>
    <mergeCell ref="A49:P49"/>
    <mergeCell ref="B47:F47"/>
    <mergeCell ref="L47:P47"/>
    <mergeCell ref="B48:P48"/>
    <mergeCell ref="A46:E46"/>
    <mergeCell ref="F46:P46"/>
    <mergeCell ref="A50:E5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94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64"/>
    </row>
    <row r="2" spans="1:17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64"/>
    </row>
    <row r="3" spans="1:17" ht="13.5" thickBot="1">
      <c r="A3" s="389" t="s">
        <v>91</v>
      </c>
      <c r="B3" s="390"/>
      <c r="C3" s="390"/>
      <c r="D3" s="391"/>
      <c r="E3" s="398"/>
      <c r="F3" s="399"/>
      <c r="G3" s="399"/>
      <c r="H3" s="399"/>
      <c r="I3" s="399"/>
      <c r="J3" s="399"/>
      <c r="K3" s="399"/>
      <c r="L3" s="399"/>
      <c r="M3" s="396" t="s">
        <v>79</v>
      </c>
      <c r="N3" s="397"/>
      <c r="O3" s="394" t="str">
        <f>'[1]p1'!$H$4</f>
        <v>2008.1</v>
      </c>
      <c r="P3" s="395"/>
      <c r="Q3" s="64"/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64"/>
    </row>
    <row r="5" spans="1:19" s="9" customFormat="1" ht="12.75">
      <c r="A5" s="382" t="str">
        <f>T('[1]p1'!$C$13:$G$13)</f>
        <v>Alciônio Saldanha de Oliveira</v>
      </c>
      <c r="B5" s="381"/>
      <c r="C5" s="381"/>
      <c r="D5" s="381"/>
      <c r="E5" s="384"/>
      <c r="F5" s="464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64"/>
      <c r="R5" s="23"/>
      <c r="S5" s="23"/>
    </row>
    <row r="6" spans="1:17" s="1" customFormat="1" ht="13.5" customHeight="1">
      <c r="A6" s="25" t="s">
        <v>72</v>
      </c>
      <c r="B6" s="443" t="str">
        <f>IF('[1]p1'!$A$99&lt;&gt;0,'[1]p1'!$A$99,"")</f>
        <v>Ana Paula Alves Barros (Co-orientação Prof. Aparecido)</v>
      </c>
      <c r="C6" s="443"/>
      <c r="D6" s="443"/>
      <c r="E6" s="443"/>
      <c r="F6" s="444"/>
      <c r="G6" s="26" t="s">
        <v>73</v>
      </c>
      <c r="H6" s="91">
        <f>IF('[1]p1'!$G$103&lt;&gt;0,'[1]p1'!$G$103,"")</f>
        <v>39448</v>
      </c>
      <c r="I6" s="26" t="s">
        <v>74</v>
      </c>
      <c r="J6" s="91">
        <f>IF('[1]p1'!$H$103&lt;&gt;0,'[1]p1'!$H$103,"")</f>
        <v>39660</v>
      </c>
      <c r="K6" s="26" t="s">
        <v>78</v>
      </c>
      <c r="L6" s="471" t="str">
        <f>IF('[1]p1'!$J$101&lt;&gt;0,'[1]p1'!$J$101,"")</f>
        <v>CNPq</v>
      </c>
      <c r="M6" s="471"/>
      <c r="N6" s="113" t="s">
        <v>26</v>
      </c>
      <c r="O6" s="471" t="str">
        <f>IF('[1]p1'!$L$101&lt;&gt;0,'[1]p1'!$L$101,"")</f>
        <v>Em andamento</v>
      </c>
      <c r="P6" s="472"/>
      <c r="Q6" s="64"/>
    </row>
    <row r="7" spans="1:17" s="1" customFormat="1" ht="13.5" customHeight="1">
      <c r="A7" s="25" t="s">
        <v>75</v>
      </c>
      <c r="B7" s="413" t="str">
        <f>IF('[1]p1'!$A$101&lt;&gt;0,'[1]p1'!$A$101,"")</f>
        <v>Métodos Numéricos em Equações Diferenciais</v>
      </c>
      <c r="C7" s="413"/>
      <c r="D7" s="413"/>
      <c r="E7" s="413"/>
      <c r="F7" s="413"/>
      <c r="G7" s="413"/>
      <c r="H7" s="413"/>
      <c r="I7" s="413"/>
      <c r="J7" s="95" t="s">
        <v>27</v>
      </c>
      <c r="K7" s="413" t="str">
        <f>IF('[1]p1'!$A$103&lt;&gt;0,'[1]p1'!$A$103,"")</f>
        <v>PIBIC</v>
      </c>
      <c r="L7" s="413"/>
      <c r="M7" s="413"/>
      <c r="N7" s="413"/>
      <c r="O7" s="413"/>
      <c r="P7" s="413"/>
      <c r="Q7" s="64"/>
    </row>
    <row r="8" spans="1:17" ht="12.75">
      <c r="A8" s="461"/>
      <c r="B8" s="461"/>
      <c r="C8" s="461"/>
      <c r="D8" s="461"/>
      <c r="E8" s="461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64"/>
    </row>
    <row r="9" spans="1:19" s="9" customFormat="1" ht="12.75">
      <c r="A9" s="382" t="str">
        <f>T('[1]p4'!$C$13:$G$13)</f>
        <v>Amauri Araújo Cruz</v>
      </c>
      <c r="B9" s="404"/>
      <c r="C9" s="404"/>
      <c r="D9" s="404"/>
      <c r="E9" s="414"/>
      <c r="F9" s="473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64"/>
      <c r="R9" s="23"/>
      <c r="S9" s="23"/>
    </row>
    <row r="10" spans="1:17" s="1" customFormat="1" ht="13.5" customHeight="1">
      <c r="A10" s="25" t="s">
        <v>72</v>
      </c>
      <c r="B10" s="470" t="str">
        <f>IF('[1]p4'!$A$78&lt;&gt;0,'[1]p4'!$A$78,"")</f>
        <v>Rafael </v>
      </c>
      <c r="C10" s="443"/>
      <c r="D10" s="443"/>
      <c r="E10" s="443"/>
      <c r="F10" s="444"/>
      <c r="G10" s="26" t="s">
        <v>73</v>
      </c>
      <c r="H10" s="91">
        <f>IF('[1]p4'!$G$82&lt;&gt;0,'[1]p4'!$G$82,"")</f>
        <v>39560</v>
      </c>
      <c r="I10" s="26" t="s">
        <v>74</v>
      </c>
      <c r="J10" s="91">
        <f>IF('[1]p4'!$H$82&lt;&gt;0,'[1]p4'!$H$82,"")</f>
      </c>
      <c r="K10" s="26" t="s">
        <v>78</v>
      </c>
      <c r="L10" s="471" t="str">
        <f>IF('[1]p4'!$J$80&lt;&gt;0,'[1]p4'!$J$80,"")</f>
        <v>UFCG</v>
      </c>
      <c r="M10" s="471"/>
      <c r="N10" s="113" t="s">
        <v>26</v>
      </c>
      <c r="O10" s="471" t="str">
        <f>IF('[1]p4'!$L$80&lt;&gt;0,'[1]p4'!$L$80,"")</f>
        <v>Em andamento</v>
      </c>
      <c r="P10" s="472"/>
      <c r="Q10" s="64"/>
    </row>
    <row r="11" spans="1:17" s="1" customFormat="1" ht="13.5" customHeight="1">
      <c r="A11" s="25" t="s">
        <v>75</v>
      </c>
      <c r="B11" s="413" t="str">
        <f>IF('[1]p4'!$A$80&lt;&gt;0,'[1]p4'!$A$80,"")</f>
        <v>Projeto de Monitoria da UAME</v>
      </c>
      <c r="C11" s="413"/>
      <c r="D11" s="413"/>
      <c r="E11" s="413"/>
      <c r="F11" s="413"/>
      <c r="G11" s="413"/>
      <c r="H11" s="413"/>
      <c r="I11" s="413"/>
      <c r="J11" s="95" t="s">
        <v>27</v>
      </c>
      <c r="K11" s="413" t="str">
        <f>IF('[1]p4'!$A$82&lt;&gt;0,'[1]p4'!$A$82,"")</f>
        <v>Monitoria</v>
      </c>
      <c r="L11" s="413"/>
      <c r="M11" s="413"/>
      <c r="N11" s="413"/>
      <c r="O11" s="413"/>
      <c r="P11" s="413"/>
      <c r="Q11" s="64"/>
    </row>
    <row r="12" spans="1:17" ht="12.75">
      <c r="A12" s="461"/>
      <c r="B12" s="461"/>
      <c r="C12" s="461"/>
      <c r="D12" s="461"/>
      <c r="E12" s="461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64"/>
    </row>
    <row r="13" spans="1:19" s="9" customFormat="1" ht="12.75">
      <c r="A13" s="382" t="str">
        <f>T('[1]p6'!$C$13:$G$13)</f>
        <v>Antônio José da Silva</v>
      </c>
      <c r="B13" s="381"/>
      <c r="C13" s="381"/>
      <c r="D13" s="381"/>
      <c r="E13" s="384"/>
      <c r="F13" s="464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64"/>
      <c r="R13" s="23"/>
      <c r="S13" s="23"/>
    </row>
    <row r="14" spans="1:17" s="1" customFormat="1" ht="13.5" customHeight="1">
      <c r="A14" s="25" t="s">
        <v>72</v>
      </c>
      <c r="B14" s="443" t="str">
        <f>IF('[1]p6'!$A$78&lt;&gt;0,'[1]p6'!$A$78,"")</f>
        <v>Danielly de Farias Almeida</v>
      </c>
      <c r="C14" s="443"/>
      <c r="D14" s="443"/>
      <c r="E14" s="443"/>
      <c r="F14" s="444"/>
      <c r="G14" s="26" t="s">
        <v>73</v>
      </c>
      <c r="H14" s="91">
        <f>IF('[1]p6'!$G$82&lt;&gt;0,'[1]p6'!$G$82,"")</f>
        <v>39560</v>
      </c>
      <c r="I14" s="26" t="s">
        <v>74</v>
      </c>
      <c r="J14" s="91">
        <f>IF('[1]p6'!$H$82&lt;&gt;0,'[1]p6'!$H$82,"")</f>
        <v>39689</v>
      </c>
      <c r="K14" s="26" t="s">
        <v>78</v>
      </c>
      <c r="L14" s="471" t="str">
        <f>IF('[1]p6'!$J$80&lt;&gt;0,'[1]p6'!$J$80,"")</f>
        <v>UFCG</v>
      </c>
      <c r="M14" s="471"/>
      <c r="N14" s="113" t="s">
        <v>26</v>
      </c>
      <c r="O14" s="471" t="str">
        <f>IF('[1]p6'!$L$80&lt;&gt;0,'[1]p6'!$L$80,"")</f>
        <v>Concluído</v>
      </c>
      <c r="P14" s="472"/>
      <c r="Q14" s="64"/>
    </row>
    <row r="15" spans="1:17" s="1" customFormat="1" ht="13.5" customHeight="1">
      <c r="A15" s="25" t="s">
        <v>75</v>
      </c>
      <c r="B15" s="413" t="str">
        <f>IF('[1]p6'!$A$80&lt;&gt;0,'[1]p6'!$A$80,"")</f>
        <v>Monitoria do CH</v>
      </c>
      <c r="C15" s="413"/>
      <c r="D15" s="413"/>
      <c r="E15" s="413"/>
      <c r="F15" s="413"/>
      <c r="G15" s="413"/>
      <c r="H15" s="413"/>
      <c r="I15" s="413"/>
      <c r="J15" s="95" t="s">
        <v>27</v>
      </c>
      <c r="K15" s="413" t="str">
        <f>IF('[1]p6'!$A$82&lt;&gt;0,'[1]p6'!$A$82,"")</f>
        <v>Monitoria</v>
      </c>
      <c r="L15" s="413"/>
      <c r="M15" s="413"/>
      <c r="N15" s="413"/>
      <c r="O15" s="413"/>
      <c r="P15" s="413"/>
      <c r="Q15" s="64"/>
    </row>
    <row r="16" spans="1:17" ht="12.75">
      <c r="A16" s="461"/>
      <c r="B16" s="461"/>
      <c r="C16" s="461"/>
      <c r="D16" s="461"/>
      <c r="E16" s="461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64"/>
    </row>
    <row r="17" spans="1:19" s="9" customFormat="1" ht="12.75">
      <c r="A17" s="382" t="str">
        <f>T('[1]p8'!$C$13:$G$13)</f>
        <v>Aparecido Jesuino de Souza</v>
      </c>
      <c r="B17" s="381"/>
      <c r="C17" s="381"/>
      <c r="D17" s="381"/>
      <c r="E17" s="384"/>
      <c r="F17" s="464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64"/>
      <c r="R17" s="23"/>
      <c r="S17" s="23"/>
    </row>
    <row r="18" spans="1:17" s="1" customFormat="1" ht="13.5" customHeight="1">
      <c r="A18" s="25" t="s">
        <v>72</v>
      </c>
      <c r="B18" s="443" t="str">
        <f>IF('[1]p8'!$A$78&lt;&gt;0,'[1]p8'!$A$78,"")</f>
        <v>Ana Paula Alves Barros (Co-orientação Prof. Alciônio)</v>
      </c>
      <c r="C18" s="443"/>
      <c r="D18" s="443"/>
      <c r="E18" s="443"/>
      <c r="F18" s="444"/>
      <c r="G18" s="26" t="s">
        <v>73</v>
      </c>
      <c r="H18" s="91">
        <f>IF('[1]p8'!$G$82&lt;&gt;0,'[1]p8'!$G$82,"")</f>
        <v>39448</v>
      </c>
      <c r="I18" s="26" t="s">
        <v>74</v>
      </c>
      <c r="J18" s="91">
        <f>IF('[1]p8'!$H$82&lt;&gt;0,'[1]p8'!$H$82,"")</f>
        <v>39660</v>
      </c>
      <c r="K18" s="26" t="s">
        <v>78</v>
      </c>
      <c r="L18" s="471" t="str">
        <f>IF('[1]p8'!$J$80&lt;&gt;0,'[1]p8'!$J$80,"")</f>
        <v>CNPq</v>
      </c>
      <c r="M18" s="471"/>
      <c r="N18" s="113" t="s">
        <v>26</v>
      </c>
      <c r="O18" s="471" t="str">
        <f>IF('[1]p8'!$L$80&lt;&gt;0,'[1]p8'!$L$80,"")</f>
        <v>Em andamento</v>
      </c>
      <c r="P18" s="472"/>
      <c r="Q18" s="64"/>
    </row>
    <row r="19" spans="1:17" s="1" customFormat="1" ht="13.5" customHeight="1">
      <c r="A19" s="25" t="s">
        <v>75</v>
      </c>
      <c r="B19" s="413" t="str">
        <f>IF('[1]p8'!$A$80&lt;&gt;0,'[1]p8'!$A$80,"")</f>
        <v>Métodos Numéricos em Equações Diferenciais</v>
      </c>
      <c r="C19" s="413"/>
      <c r="D19" s="413"/>
      <c r="E19" s="413"/>
      <c r="F19" s="413"/>
      <c r="G19" s="413"/>
      <c r="H19" s="413"/>
      <c r="I19" s="413"/>
      <c r="J19" s="95" t="s">
        <v>27</v>
      </c>
      <c r="K19" s="413" t="str">
        <f>IF('[1]p8'!$A$82&lt;&gt;0,'[1]p8'!$A$82,"")</f>
        <v>PIBIC</v>
      </c>
      <c r="L19" s="413"/>
      <c r="M19" s="413"/>
      <c r="N19" s="413"/>
      <c r="O19" s="413"/>
      <c r="P19" s="413"/>
      <c r="Q19" s="64"/>
    </row>
    <row r="20" spans="1:17" ht="12.75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64"/>
    </row>
    <row r="21" spans="1:17" s="1" customFormat="1" ht="13.5" customHeight="1">
      <c r="A21" s="25" t="s">
        <v>72</v>
      </c>
      <c r="B21" s="443" t="str">
        <f>IF('[1]p8'!$A$85&lt;&gt;0,'[1]p8'!$A$85,"")</f>
        <v>Jeysibel de Souza Dantas</v>
      </c>
      <c r="C21" s="443"/>
      <c r="D21" s="443"/>
      <c r="E21" s="443"/>
      <c r="F21" s="444"/>
      <c r="G21" s="26" t="s">
        <v>73</v>
      </c>
      <c r="H21" s="91">
        <f>IF('[1]p8'!$G$89&lt;&gt;0,'[1]p8'!$G$89,"")</f>
        <v>39356</v>
      </c>
      <c r="I21" s="26" t="s">
        <v>74</v>
      </c>
      <c r="J21" s="91">
        <f>IF('[1]p8'!$H$89&lt;&gt;0,'[1]p8'!$H$89,"")</f>
        <v>39660</v>
      </c>
      <c r="K21" s="26" t="s">
        <v>78</v>
      </c>
      <c r="L21" s="471" t="str">
        <f>IF('[1]p8'!$J$87&lt;&gt;0,'[1]p8'!$J$87,"")</f>
        <v>CNPq</v>
      </c>
      <c r="M21" s="471"/>
      <c r="N21" s="113" t="s">
        <v>26</v>
      </c>
      <c r="O21" s="471" t="str">
        <f>IF('[1]p8'!$L$87&lt;&gt;0,'[1]p8'!$L$87,"")</f>
        <v>Em andamento</v>
      </c>
      <c r="P21" s="472"/>
      <c r="Q21" s="64"/>
    </row>
    <row r="22" spans="1:17" s="1" customFormat="1" ht="13.5" customHeight="1">
      <c r="A22" s="25" t="s">
        <v>75</v>
      </c>
      <c r="B22" s="413" t="str">
        <f>IF('[1]p8'!$A$87&lt;&gt;0,'[1]p8'!$A$87,"")</f>
        <v>Apoio computacional as atividades de pesquisa do DME</v>
      </c>
      <c r="C22" s="413"/>
      <c r="D22" s="413"/>
      <c r="E22" s="413"/>
      <c r="F22" s="413"/>
      <c r="G22" s="413"/>
      <c r="H22" s="413"/>
      <c r="I22" s="413"/>
      <c r="J22" s="95" t="s">
        <v>27</v>
      </c>
      <c r="K22" s="413" t="str">
        <f>IF('[1]p8'!$A$89&lt;&gt;0,'[1]p8'!$A$89,"")</f>
        <v>Auxílio integrado CNPq</v>
      </c>
      <c r="L22" s="413"/>
      <c r="M22" s="413"/>
      <c r="N22" s="413"/>
      <c r="O22" s="413"/>
      <c r="P22" s="413"/>
      <c r="Q22" s="64"/>
    </row>
    <row r="23" spans="1:17" ht="12.75">
      <c r="A23" s="461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64"/>
    </row>
    <row r="24" spans="1:17" s="1" customFormat="1" ht="13.5" customHeight="1">
      <c r="A24" s="25" t="s">
        <v>72</v>
      </c>
      <c r="B24" s="443" t="str">
        <f>IF('[1]p8'!$A$92&lt;&gt;0,'[1]p8'!$A$92,"")</f>
        <v>João Victor Sampaio Borges</v>
      </c>
      <c r="C24" s="443"/>
      <c r="D24" s="443"/>
      <c r="E24" s="443"/>
      <c r="F24" s="444"/>
      <c r="G24" s="26" t="s">
        <v>73</v>
      </c>
      <c r="H24" s="91">
        <f>IF('[1]p8'!$G$96&lt;&gt;0,'[1]p8'!$G$96,"")</f>
        <v>39508</v>
      </c>
      <c r="I24" s="26" t="s">
        <v>74</v>
      </c>
      <c r="J24" s="91">
        <f>IF('[1]p8'!$H$96&lt;&gt;0,'[1]p8'!$H$96,"")</f>
      </c>
      <c r="K24" s="26" t="s">
        <v>78</v>
      </c>
      <c r="L24" s="471" t="str">
        <f>IF('[1]p8'!$J$94&lt;&gt;0,'[1]p8'!$J$94,"")</f>
        <v>Não há</v>
      </c>
      <c r="M24" s="471"/>
      <c r="N24" s="113" t="s">
        <v>26</v>
      </c>
      <c r="O24" s="471" t="str">
        <f>IF('[1]p8'!$L$94&lt;&gt;0,'[1]p8'!$L$94,"")</f>
        <v>Em andamento</v>
      </c>
      <c r="P24" s="472"/>
      <c r="Q24" s="64"/>
    </row>
    <row r="25" spans="1:17" s="1" customFormat="1" ht="13.5" customHeight="1">
      <c r="A25" s="25" t="s">
        <v>75</v>
      </c>
      <c r="B25" s="413" t="str">
        <f>IF('[1]p8'!$A$94&lt;&gt;0,'[1]p8'!$A$94,"")</f>
        <v>Atualização a Home-Page da UAME e apoio ao LIDME</v>
      </c>
      <c r="C25" s="413"/>
      <c r="D25" s="413"/>
      <c r="E25" s="413"/>
      <c r="F25" s="413"/>
      <c r="G25" s="413"/>
      <c r="H25" s="413"/>
      <c r="I25" s="413"/>
      <c r="J25" s="95" t="s">
        <v>27</v>
      </c>
      <c r="K25" s="413" t="str">
        <f>IF('[1]p8'!$A$96&lt;&gt;0,'[1]p8'!$A$96,"")</f>
        <v>Projeto Específico</v>
      </c>
      <c r="L25" s="413"/>
      <c r="M25" s="413"/>
      <c r="N25" s="413"/>
      <c r="O25" s="413"/>
      <c r="P25" s="413"/>
      <c r="Q25" s="64"/>
    </row>
    <row r="26" spans="1:17" ht="12.75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64"/>
    </row>
    <row r="27" spans="1:17" s="1" customFormat="1" ht="13.5" customHeight="1">
      <c r="A27" s="25" t="s">
        <v>72</v>
      </c>
      <c r="B27" s="443" t="str">
        <f>IF('[1]p8'!$A$99&lt;&gt;0,'[1]p8'!$A$99,"")</f>
        <v>Rivaldo Bezerra de Aquino Filho</v>
      </c>
      <c r="C27" s="443"/>
      <c r="D27" s="443"/>
      <c r="E27" s="443"/>
      <c r="F27" s="444"/>
      <c r="G27" s="26" t="s">
        <v>73</v>
      </c>
      <c r="H27" s="91">
        <f>IF('[1]p8'!$G$103&lt;&gt;0,'[1]p8'!$G$103,"")</f>
        <v>39326</v>
      </c>
      <c r="I27" s="26" t="s">
        <v>74</v>
      </c>
      <c r="J27" s="91">
        <f>IF('[1]p8'!$H$103&lt;&gt;0,'[1]p8'!$H$103,"")</f>
        <v>40025</v>
      </c>
      <c r="K27" s="26" t="s">
        <v>78</v>
      </c>
      <c r="L27" s="471" t="str">
        <f>IF('[1]p8'!$J$101&lt;&gt;0,'[1]p8'!$J$101,"")</f>
        <v>CNPq</v>
      </c>
      <c r="M27" s="471"/>
      <c r="N27" s="113" t="s">
        <v>26</v>
      </c>
      <c r="O27" s="471" t="str">
        <f>IF('[1]p8'!$L$101&lt;&gt;0,'[1]p8'!$L$101,"")</f>
        <v>Em andamento</v>
      </c>
      <c r="P27" s="472"/>
      <c r="Q27" s="64"/>
    </row>
    <row r="28" spans="1:17" s="1" customFormat="1" ht="13.5" customHeight="1">
      <c r="A28" s="25" t="s">
        <v>75</v>
      </c>
      <c r="B28" s="413" t="str">
        <f>IF('[1]p8'!$A$101&lt;&gt;0,'[1]p8'!$A$101,"")</f>
        <v>Tópicos de Equações Diferenciais</v>
      </c>
      <c r="C28" s="413"/>
      <c r="D28" s="413"/>
      <c r="E28" s="413"/>
      <c r="F28" s="413"/>
      <c r="G28" s="413"/>
      <c r="H28" s="413"/>
      <c r="I28" s="413"/>
      <c r="J28" s="95" t="s">
        <v>27</v>
      </c>
      <c r="K28" s="413" t="str">
        <f>IF('[1]p8'!$A$103&lt;&gt;0,'[1]p8'!$A$103,"")</f>
        <v>Auxílio integrado CNPq</v>
      </c>
      <c r="L28" s="413"/>
      <c r="M28" s="413"/>
      <c r="N28" s="413"/>
      <c r="O28" s="413"/>
      <c r="P28" s="413"/>
      <c r="Q28" s="64"/>
    </row>
    <row r="29" spans="1:16" ht="12.75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</row>
    <row r="30" spans="1:19" s="9" customFormat="1" ht="12.75">
      <c r="A30" s="382" t="str">
        <f>T('[1]p9'!$C$13:$G$13)</f>
        <v>Bianca Morelli Casalvara Caretta</v>
      </c>
      <c r="B30" s="381"/>
      <c r="C30" s="381"/>
      <c r="D30" s="381"/>
      <c r="E30" s="384"/>
      <c r="F30" s="464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64"/>
      <c r="R30" s="23"/>
      <c r="S30" s="23"/>
    </row>
    <row r="31" spans="1:17" s="1" customFormat="1" ht="13.5" customHeight="1">
      <c r="A31" s="25" t="s">
        <v>72</v>
      </c>
      <c r="B31" s="443" t="str">
        <f>IF('[1]p9'!$A$78&lt;&gt;0,'[1]p9'!$A$78,"")</f>
        <v>Israel Buriti Galvão</v>
      </c>
      <c r="C31" s="443"/>
      <c r="D31" s="443"/>
      <c r="E31" s="443"/>
      <c r="F31" s="444"/>
      <c r="G31" s="26" t="s">
        <v>73</v>
      </c>
      <c r="H31" s="91">
        <f>IF('[1]p9'!$G$82&lt;&gt;0,'[1]p9'!$G$82,"")</f>
        <v>39370</v>
      </c>
      <c r="I31" s="26" t="s">
        <v>74</v>
      </c>
      <c r="J31" s="91">
        <f>IF('[1]p9'!$H$82&lt;&gt;0,'[1]p9'!$H$82,"")</f>
        <v>39660</v>
      </c>
      <c r="K31" s="26" t="s">
        <v>78</v>
      </c>
      <c r="L31" s="471" t="str">
        <f>IF('[1]p9'!$J$80&lt;&gt;0,'[1]p9'!$J$80,"")</f>
        <v>CNPq</v>
      </c>
      <c r="M31" s="471"/>
      <c r="N31" s="113" t="s">
        <v>26</v>
      </c>
      <c r="O31" s="471" t="str">
        <f>IF('[1]p9'!$L$80&lt;&gt;0,'[1]p9'!$L$80,"")</f>
        <v>Em andamento</v>
      </c>
      <c r="P31" s="472"/>
      <c r="Q31" s="64"/>
    </row>
    <row r="32" spans="1:17" s="1" customFormat="1" ht="13.5" customHeight="1">
      <c r="A32" s="25" t="s">
        <v>75</v>
      </c>
      <c r="B32" s="413" t="str">
        <f>IF('[1]p9'!$A$80&lt;&gt;0,'[1]p9'!$A$80,"")</f>
        <v>Princípios do Máximo para Equações Diferenciais Parciais e Aplicações</v>
      </c>
      <c r="C32" s="413"/>
      <c r="D32" s="413"/>
      <c r="E32" s="413"/>
      <c r="F32" s="413"/>
      <c r="G32" s="413"/>
      <c r="H32" s="413"/>
      <c r="I32" s="413"/>
      <c r="J32" s="95" t="s">
        <v>27</v>
      </c>
      <c r="K32" s="413" t="str">
        <f>IF('[1]p9'!$A$82&lt;&gt;0,'[1]p9'!$A$82,"")</f>
        <v>Projeto Específico</v>
      </c>
      <c r="L32" s="413"/>
      <c r="M32" s="413"/>
      <c r="N32" s="413"/>
      <c r="O32" s="413"/>
      <c r="P32" s="413"/>
      <c r="Q32" s="64"/>
    </row>
    <row r="33" spans="1:17" ht="12.75">
      <c r="A33" s="461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64"/>
    </row>
    <row r="34" spans="1:17" s="1" customFormat="1" ht="13.5" customHeight="1">
      <c r="A34" s="25" t="s">
        <v>72</v>
      </c>
      <c r="B34" s="443" t="str">
        <f>IF('[1]p9'!$A$85&lt;&gt;0,'[1]p9'!$A$85,"")</f>
        <v>Shanira</v>
      </c>
      <c r="C34" s="443"/>
      <c r="D34" s="443"/>
      <c r="E34" s="443"/>
      <c r="F34" s="444"/>
      <c r="G34" s="26" t="s">
        <v>73</v>
      </c>
      <c r="H34" s="91">
        <f>IF('[1]p9'!$G$89&lt;&gt;0,'[1]p9'!$G$89,"")</f>
        <v>39560</v>
      </c>
      <c r="I34" s="26" t="s">
        <v>74</v>
      </c>
      <c r="J34" s="91">
        <f>IF('[1]p9'!$H$89&lt;&gt;0,'[1]p9'!$H$89,"")</f>
        <v>39689</v>
      </c>
      <c r="K34" s="26" t="s">
        <v>78</v>
      </c>
      <c r="L34" s="471" t="str">
        <f>IF('[1]p9'!$J$87&lt;&gt;0,'[1]p9'!$J$87,"")</f>
        <v>UFCG</v>
      </c>
      <c r="M34" s="471"/>
      <c r="N34" s="113" t="s">
        <v>26</v>
      </c>
      <c r="O34" s="471" t="str">
        <f>IF('[1]p9'!$L$87&lt;&gt;0,'[1]p9'!$L$87,"")</f>
        <v>Em andamento</v>
      </c>
      <c r="P34" s="472"/>
      <c r="Q34" s="64"/>
    </row>
    <row r="35" spans="1:17" s="1" customFormat="1" ht="13.5" customHeight="1">
      <c r="A35" s="25" t="s">
        <v>75</v>
      </c>
      <c r="B35" s="413" t="str">
        <f>IF('[1]p9'!$A$87&lt;&gt;0,'[1]p9'!$A$87,"")</f>
        <v>Monitoria de Cálculo Diferencial e Integral I - Elétrica+Computação</v>
      </c>
      <c r="C35" s="413"/>
      <c r="D35" s="413"/>
      <c r="E35" s="413"/>
      <c r="F35" s="413"/>
      <c r="G35" s="413"/>
      <c r="H35" s="413"/>
      <c r="I35" s="413"/>
      <c r="J35" s="95" t="s">
        <v>27</v>
      </c>
      <c r="K35" s="413" t="str">
        <f>IF('[1]p9'!$A$89&lt;&gt;0,'[1]p9'!$A$89,"")</f>
        <v>Monitoria</v>
      </c>
      <c r="L35" s="413"/>
      <c r="M35" s="413"/>
      <c r="N35" s="413"/>
      <c r="O35" s="413"/>
      <c r="P35" s="413"/>
      <c r="Q35" s="64"/>
    </row>
    <row r="36" spans="1:19" s="9" customFormat="1" ht="12.75">
      <c r="A36" s="382" t="str">
        <f>T('[1]p12'!$C$13:$G$13)</f>
        <v>Daniel Cordeiro de Morais Filho</v>
      </c>
      <c r="B36" s="381"/>
      <c r="C36" s="381"/>
      <c r="D36" s="381"/>
      <c r="E36" s="384"/>
      <c r="F36" s="464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64"/>
      <c r="R36" s="23"/>
      <c r="S36" s="23"/>
    </row>
    <row r="37" spans="1:17" s="1" customFormat="1" ht="13.5" customHeight="1">
      <c r="A37" s="25" t="s">
        <v>72</v>
      </c>
      <c r="B37" s="443" t="str">
        <f>IF('[1]p12'!$A$78&lt;&gt;0,'[1]p12'!$A$78,"")</f>
        <v>Aline Barbosa Tsuyuguchi (Co-orientação Prof. Jesualdo)</v>
      </c>
      <c r="C37" s="443"/>
      <c r="D37" s="443"/>
      <c r="E37" s="443"/>
      <c r="F37" s="444"/>
      <c r="G37" s="26" t="s">
        <v>73</v>
      </c>
      <c r="H37" s="91">
        <f>IF('[1]p12'!$G$82&lt;&gt;0,'[1]p12'!$G$82,"")</f>
        <v>39295</v>
      </c>
      <c r="I37" s="26" t="s">
        <v>74</v>
      </c>
      <c r="J37" s="91">
        <f>IF('[1]p12'!$H$82&lt;&gt;0,'[1]p12'!$H$82,"")</f>
        <v>39660</v>
      </c>
      <c r="K37" s="26" t="s">
        <v>78</v>
      </c>
      <c r="L37" s="471" t="str">
        <f>IF('[1]p12'!$J$80&lt;&gt;0,'[1]p12'!$J$80,"")</f>
        <v>CNPq</v>
      </c>
      <c r="M37" s="471"/>
      <c r="N37" s="113" t="s">
        <v>26</v>
      </c>
      <c r="O37" s="471" t="str">
        <f>IF('[1]p12'!$L$80&lt;&gt;0,'[1]p12'!$L$80,"")</f>
        <v>Em andamento</v>
      </c>
      <c r="P37" s="472"/>
      <c r="Q37" s="64"/>
    </row>
    <row r="38" spans="1:17" s="1" customFormat="1" ht="13.5" customHeight="1">
      <c r="A38" s="25" t="s">
        <v>75</v>
      </c>
      <c r="B38" s="413" t="str">
        <f>IF('[1]p12'!$A$80&lt;&gt;0,'[1]p12'!$A$80,"")</f>
        <v>Teoria Analítica dos Números</v>
      </c>
      <c r="C38" s="413"/>
      <c r="D38" s="413"/>
      <c r="E38" s="413"/>
      <c r="F38" s="413"/>
      <c r="G38" s="413"/>
      <c r="H38" s="413"/>
      <c r="I38" s="413"/>
      <c r="J38" s="95" t="s">
        <v>27</v>
      </c>
      <c r="K38" s="413" t="str">
        <f>IF('[1]p12'!$A$82&lt;&gt;0,'[1]p12'!$A$82,"")</f>
        <v>PIBIC</v>
      </c>
      <c r="L38" s="413"/>
      <c r="M38" s="413"/>
      <c r="N38" s="413"/>
      <c r="O38" s="413"/>
      <c r="P38" s="413"/>
      <c r="Q38" s="64"/>
    </row>
    <row r="39" spans="1:17" ht="12.75">
      <c r="A39" s="461"/>
      <c r="B39" s="461"/>
      <c r="C39" s="461"/>
      <c r="D39" s="461"/>
      <c r="E39" s="461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64"/>
    </row>
    <row r="40" spans="1:19" s="9" customFormat="1" ht="12.75">
      <c r="A40" s="382" t="str">
        <f>T('[1]p13'!$C$13:$G$13)</f>
        <v>Florence Ayres Campello de Oliveira</v>
      </c>
      <c r="B40" s="381"/>
      <c r="C40" s="381"/>
      <c r="D40" s="381"/>
      <c r="E40" s="384"/>
      <c r="F40" s="464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64"/>
      <c r="R40" s="23"/>
      <c r="S40" s="23"/>
    </row>
    <row r="41" spans="1:17" s="1" customFormat="1" ht="13.5" customHeight="1">
      <c r="A41" s="25" t="s">
        <v>72</v>
      </c>
      <c r="B41" s="443" t="str">
        <f>IF('[1]p13'!$A$78&lt;&gt;0,'[1]p13'!$A$78,"")</f>
        <v>Pedro Augusto Guedes de França </v>
      </c>
      <c r="C41" s="443"/>
      <c r="D41" s="443"/>
      <c r="E41" s="443"/>
      <c r="F41" s="444"/>
      <c r="G41" s="26" t="s">
        <v>73</v>
      </c>
      <c r="H41" s="91">
        <f>IF('[1]p13'!$G$82&lt;&gt;0,'[1]p13'!$G$82,"")</f>
        <v>39573</v>
      </c>
      <c r="I41" s="26" t="s">
        <v>74</v>
      </c>
      <c r="J41" s="91">
        <f>IF('[1]p13'!$H$82&lt;&gt;0,'[1]p13'!$H$82,"")</f>
        <v>39682</v>
      </c>
      <c r="K41" s="26" t="s">
        <v>78</v>
      </c>
      <c r="L41" s="471" t="str">
        <f>IF('[1]p13'!$J$80&lt;&gt;0,'[1]p13'!$J$80,"")</f>
        <v>UFCG</v>
      </c>
      <c r="M41" s="471"/>
      <c r="N41" s="113" t="s">
        <v>26</v>
      </c>
      <c r="O41" s="471" t="str">
        <f>IF('[1]p13'!$L$80&lt;&gt;0,'[1]p13'!$L$80,"")</f>
        <v>Em andamento</v>
      </c>
      <c r="P41" s="472"/>
      <c r="Q41" s="64"/>
    </row>
    <row r="42" spans="1:17" s="1" customFormat="1" ht="13.5" customHeight="1">
      <c r="A42" s="25" t="s">
        <v>75</v>
      </c>
      <c r="B42" s="413" t="str">
        <f>IF('[1]p13'!$A$80&lt;&gt;0,'[1]p13'!$A$80,"")</f>
        <v>Projeto monitoria </v>
      </c>
      <c r="C42" s="413"/>
      <c r="D42" s="413"/>
      <c r="E42" s="413"/>
      <c r="F42" s="413"/>
      <c r="G42" s="413"/>
      <c r="H42" s="413"/>
      <c r="I42" s="413"/>
      <c r="J42" s="95" t="s">
        <v>27</v>
      </c>
      <c r="K42" s="413" t="str">
        <f>IF('[1]p13'!$A$82&lt;&gt;0,'[1]p13'!$A$82,"")</f>
        <v>Monitoria</v>
      </c>
      <c r="L42" s="413"/>
      <c r="M42" s="413"/>
      <c r="N42" s="413"/>
      <c r="O42" s="413"/>
      <c r="P42" s="413"/>
      <c r="Q42" s="64"/>
    </row>
    <row r="43" spans="1:17" ht="12.75">
      <c r="A43" s="461"/>
      <c r="B43" s="461"/>
      <c r="C43" s="461"/>
      <c r="D43" s="461"/>
      <c r="E43" s="461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64"/>
    </row>
    <row r="44" spans="1:19" s="9" customFormat="1" ht="12.75">
      <c r="A44" s="382" t="str">
        <f>T('[1]p14'!$C$13:$G$13)</f>
        <v>Francisco Antônio Morais de Souza</v>
      </c>
      <c r="B44" s="381"/>
      <c r="C44" s="381"/>
      <c r="D44" s="381"/>
      <c r="E44" s="384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64"/>
      <c r="R44" s="23"/>
      <c r="S44" s="23"/>
    </row>
    <row r="45" spans="1:17" s="1" customFormat="1" ht="13.5" customHeight="1">
      <c r="A45" s="25" t="s">
        <v>72</v>
      </c>
      <c r="B45" s="443" t="str">
        <f>IF('[1]p14'!$A$78&lt;&gt;0,'[1]p14'!$A$78,"")</f>
        <v>Damares Pereira Monteiro</v>
      </c>
      <c r="C45" s="443"/>
      <c r="D45" s="443"/>
      <c r="E45" s="443"/>
      <c r="F45" s="444"/>
      <c r="G45" s="26" t="s">
        <v>73</v>
      </c>
      <c r="H45" s="91">
        <f>IF('[1]p14'!$G$82&lt;&gt;0,'[1]p14'!$G$82,"")</f>
        <v>39569</v>
      </c>
      <c r="I45" s="26" t="s">
        <v>74</v>
      </c>
      <c r="J45" s="91">
        <f>IF('[1]p14'!$H$82&lt;&gt;0,'[1]p14'!$H$82,"")</f>
      </c>
      <c r="K45" s="26" t="s">
        <v>78</v>
      </c>
      <c r="L45" s="471" t="str">
        <f>IF('[1]p14'!$J$80&lt;&gt;0,'[1]p14'!$J$80,"")</f>
        <v>ANP</v>
      </c>
      <c r="M45" s="471"/>
      <c r="N45" s="113" t="s">
        <v>26</v>
      </c>
      <c r="O45" s="471" t="str">
        <f>IF('[1]p14'!$L$80&lt;&gt;0,'[1]p14'!$L$80,"")</f>
        <v>Em andamento</v>
      </c>
      <c r="P45" s="472"/>
      <c r="Q45" s="64"/>
    </row>
    <row r="46" spans="1:17" s="1" customFormat="1" ht="13.5" customHeight="1">
      <c r="A46" s="25" t="s">
        <v>75</v>
      </c>
      <c r="B46" s="413" t="str">
        <f>IF('[1]p14'!$A$80&lt;&gt;0,'[1]p14'!$A$80,"")</f>
        <v>Análise de Risco Estocástica na Perfuração e Completação de Poços Petrolíferos</v>
      </c>
      <c r="C46" s="413"/>
      <c r="D46" s="413"/>
      <c r="E46" s="413"/>
      <c r="F46" s="413"/>
      <c r="G46" s="413"/>
      <c r="H46" s="413"/>
      <c r="I46" s="413"/>
      <c r="J46" s="95" t="s">
        <v>27</v>
      </c>
      <c r="K46" s="413" t="str">
        <f>IF('[1]p14'!$A$82&lt;&gt;0,'[1]p14'!$A$82,"")</f>
        <v>Programa de Recursos Humanos da ANP-PRH25</v>
      </c>
      <c r="L46" s="413"/>
      <c r="M46" s="413"/>
      <c r="N46" s="413"/>
      <c r="O46" s="413"/>
      <c r="P46" s="413"/>
      <c r="Q46" s="64"/>
    </row>
    <row r="47" spans="1:17" ht="12.75">
      <c r="A47" s="461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64"/>
    </row>
    <row r="48" spans="1:17" s="1" customFormat="1" ht="13.5" customHeight="1">
      <c r="A48" s="25" t="s">
        <v>72</v>
      </c>
      <c r="B48" s="443" t="str">
        <f>IF('[1]p14'!$A$85&lt;&gt;0,'[1]p14'!$A$85,"")</f>
        <v>Maria de Sousa Leite Filha</v>
      </c>
      <c r="C48" s="443"/>
      <c r="D48" s="443"/>
      <c r="E48" s="443"/>
      <c r="F48" s="444"/>
      <c r="G48" s="26" t="s">
        <v>73</v>
      </c>
      <c r="H48" s="91">
        <f>IF('[1]p14'!$G$89&lt;&gt;0,'[1]p14'!$G$89,"")</f>
        <v>39569</v>
      </c>
      <c r="I48" s="26" t="s">
        <v>74</v>
      </c>
      <c r="J48" s="91">
        <f>IF('[1]p14'!$H$89&lt;&gt;0,'[1]p14'!$H$89,"")</f>
      </c>
      <c r="K48" s="26" t="s">
        <v>78</v>
      </c>
      <c r="L48" s="471" t="str">
        <f>IF('[1]p14'!$J$87&lt;&gt;0,'[1]p14'!$J$87,"")</f>
        <v>ANP</v>
      </c>
      <c r="M48" s="471"/>
      <c r="N48" s="113" t="s">
        <v>26</v>
      </c>
      <c r="O48" s="471" t="str">
        <f>IF('[1]p14'!$L$87&lt;&gt;0,'[1]p14'!$L$87,"")</f>
        <v>Em andamento</v>
      </c>
      <c r="P48" s="472"/>
      <c r="Q48" s="64"/>
    </row>
    <row r="49" spans="1:17" s="1" customFormat="1" ht="13.5" customHeight="1">
      <c r="A49" s="25" t="s">
        <v>75</v>
      </c>
      <c r="B49" s="413" t="str">
        <f>IF('[1]p14'!$A$87&lt;&gt;0,'[1]p14'!$A$87,"")</f>
        <v>Estudo de Técnicas de Análise de Risco Aplicadas no Desenvolvimento de Campos de Petróleo</v>
      </c>
      <c r="C49" s="413"/>
      <c r="D49" s="413"/>
      <c r="E49" s="413"/>
      <c r="F49" s="413"/>
      <c r="G49" s="413"/>
      <c r="H49" s="413"/>
      <c r="I49" s="413"/>
      <c r="J49" s="95" t="s">
        <v>27</v>
      </c>
      <c r="K49" s="413" t="str">
        <f>IF('[1]p14'!$A$89&lt;&gt;0,'[1]p14'!$A$89,"")</f>
        <v>Programa de Recursos Humanos da ANP-PRH25</v>
      </c>
      <c r="L49" s="413"/>
      <c r="M49" s="413"/>
      <c r="N49" s="413"/>
      <c r="O49" s="413"/>
      <c r="P49" s="413"/>
      <c r="Q49" s="64"/>
    </row>
    <row r="50" spans="1:17" ht="12.75">
      <c r="A50" s="461"/>
      <c r="B50" s="461"/>
      <c r="C50" s="461"/>
      <c r="D50" s="461"/>
      <c r="E50" s="461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64"/>
    </row>
    <row r="51" spans="1:19" s="9" customFormat="1" ht="12.75">
      <c r="A51" s="382" t="str">
        <f>T('[1]p15'!$C$13:$G$13)</f>
        <v>Francisco Júlio Sobreira de A. Corrêa</v>
      </c>
      <c r="B51" s="381"/>
      <c r="C51" s="381"/>
      <c r="D51" s="381"/>
      <c r="E51" s="384"/>
      <c r="F51" s="464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64"/>
      <c r="R51" s="23"/>
      <c r="S51" s="23"/>
    </row>
    <row r="52" spans="1:17" s="1" customFormat="1" ht="13.5" customHeight="1">
      <c r="A52" s="25" t="s">
        <v>72</v>
      </c>
      <c r="B52" s="443" t="str">
        <f>IF('[1]p15'!$A$78&lt;&gt;0,'[1]p15'!$A$78,"")</f>
        <v>Israel Buriti Galvão</v>
      </c>
      <c r="C52" s="443"/>
      <c r="D52" s="443"/>
      <c r="E52" s="443"/>
      <c r="F52" s="444"/>
      <c r="G52" s="26" t="s">
        <v>73</v>
      </c>
      <c r="H52" s="91">
        <f>IF('[1]p15'!$G$82&lt;&gt;0,'[1]p15'!$G$82,"")</f>
        <v>39661</v>
      </c>
      <c r="I52" s="26" t="s">
        <v>74</v>
      </c>
      <c r="J52" s="91">
        <f>IF('[1]p15'!$H$82&lt;&gt;0,'[1]p15'!$H$82,"")</f>
        <v>40024</v>
      </c>
      <c r="K52" s="26" t="s">
        <v>78</v>
      </c>
      <c r="L52" s="471" t="str">
        <f>IF('[1]p15'!$J$80&lt;&gt;0,'[1]p15'!$J$80,"")</f>
        <v>CNPq</v>
      </c>
      <c r="M52" s="471"/>
      <c r="N52" s="113" t="s">
        <v>26</v>
      </c>
      <c r="O52" s="471" t="str">
        <f>IF('[1]p15'!$L$80&lt;&gt;0,'[1]p15'!$L$80,"")</f>
        <v>Em andamento</v>
      </c>
      <c r="P52" s="472"/>
      <c r="Q52" s="64"/>
    </row>
    <row r="53" spans="1:17" s="1" customFormat="1" ht="13.5" customHeight="1">
      <c r="A53" s="25" t="s">
        <v>75</v>
      </c>
      <c r="B53" s="413" t="str">
        <f>IF('[1]p15'!$A$80&lt;&gt;0,'[1]p15'!$A$80,"")</f>
        <v>Equações Diferenciais e Aplicações</v>
      </c>
      <c r="C53" s="413"/>
      <c r="D53" s="413"/>
      <c r="E53" s="413"/>
      <c r="F53" s="413"/>
      <c r="G53" s="413"/>
      <c r="H53" s="413"/>
      <c r="I53" s="413"/>
      <c r="J53" s="95" t="s">
        <v>27</v>
      </c>
      <c r="K53" s="413" t="str">
        <f>IF('[1]p15'!$A$82&lt;&gt;0,'[1]p15'!$A$82,"")</f>
        <v>PIBIC</v>
      </c>
      <c r="L53" s="413"/>
      <c r="M53" s="413"/>
      <c r="N53" s="413"/>
      <c r="O53" s="413"/>
      <c r="P53" s="413"/>
      <c r="Q53" s="64"/>
    </row>
    <row r="54" spans="1:17" ht="12.75">
      <c r="A54" s="461"/>
      <c r="B54" s="461"/>
      <c r="C54" s="461"/>
      <c r="D54" s="461"/>
      <c r="E54" s="461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64"/>
    </row>
    <row r="55" spans="1:19" s="9" customFormat="1" ht="12.75">
      <c r="A55" s="382" t="str">
        <f>T('[1]p16'!$C$13:$G$13)</f>
        <v>Gilberto da Silva Matos</v>
      </c>
      <c r="B55" s="381"/>
      <c r="C55" s="381"/>
      <c r="D55" s="381"/>
      <c r="E55" s="384"/>
      <c r="F55" s="464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64"/>
      <c r="R55" s="23"/>
      <c r="S55" s="23"/>
    </row>
    <row r="56" spans="1:17" s="1" customFormat="1" ht="13.5" customHeight="1">
      <c r="A56" s="25" t="s">
        <v>72</v>
      </c>
      <c r="B56" s="443" t="str">
        <f>IF('[1]p16'!$A$78&lt;&gt;0,'[1]p16'!$A$78,"")</f>
        <v>Rafael Baptista de Assis</v>
      </c>
      <c r="C56" s="443"/>
      <c r="D56" s="443"/>
      <c r="E56" s="443"/>
      <c r="F56" s="444"/>
      <c r="G56" s="26" t="s">
        <v>73</v>
      </c>
      <c r="H56" s="91">
        <f>IF('[1]p16'!$G$82&lt;&gt;0,'[1]p16'!$G$82,"")</f>
        <v>39661</v>
      </c>
      <c r="I56" s="26" t="s">
        <v>74</v>
      </c>
      <c r="J56" s="91">
        <f>IF('[1]p16'!$H$82&lt;&gt;0,'[1]p16'!$H$82,"")</f>
        <v>40025</v>
      </c>
      <c r="K56" s="26" t="s">
        <v>78</v>
      </c>
      <c r="L56" s="471" t="str">
        <f>IF('[1]p16'!$J$80&lt;&gt;0,'[1]p16'!$J$80,"")</f>
        <v>CNPq</v>
      </c>
      <c r="M56" s="471"/>
      <c r="N56" s="113" t="s">
        <v>26</v>
      </c>
      <c r="O56" s="471" t="str">
        <f>IF('[1]p16'!$L$80&lt;&gt;0,'[1]p16'!$L$80,"")</f>
        <v>Em andamento</v>
      </c>
      <c r="P56" s="472"/>
      <c r="Q56" s="64"/>
    </row>
    <row r="57" spans="1:17" s="1" customFormat="1" ht="13.5" customHeight="1">
      <c r="A57" s="25" t="s">
        <v>75</v>
      </c>
      <c r="B57" s="413" t="str">
        <f>IF('[1]p16'!$A$80&lt;&gt;0,'[1]p16'!$A$80,"")</f>
        <v>Modelos Birbaum Saunder generalizados</v>
      </c>
      <c r="C57" s="413"/>
      <c r="D57" s="413"/>
      <c r="E57" s="413"/>
      <c r="F57" s="413"/>
      <c r="G57" s="413"/>
      <c r="H57" s="413"/>
      <c r="I57" s="413"/>
      <c r="J57" s="95" t="s">
        <v>27</v>
      </c>
      <c r="K57" s="413" t="str">
        <f>IF('[1]p16'!$A$82&lt;&gt;0,'[1]p16'!$A$82,"")</f>
        <v>PIBIC</v>
      </c>
      <c r="L57" s="413"/>
      <c r="M57" s="413"/>
      <c r="N57" s="413"/>
      <c r="O57" s="413"/>
      <c r="P57" s="413"/>
      <c r="Q57" s="64"/>
    </row>
    <row r="58" spans="1:17" ht="12.75">
      <c r="A58" s="461"/>
      <c r="B58" s="461"/>
      <c r="C58" s="461"/>
      <c r="D58" s="461"/>
      <c r="E58" s="461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64"/>
    </row>
    <row r="59" spans="1:19" s="9" customFormat="1" ht="12.75">
      <c r="A59" s="382" t="str">
        <f>T('[1]p19'!$C$13:$G$13)</f>
        <v>Jesualdo Gomes das Chagas</v>
      </c>
      <c r="B59" s="381"/>
      <c r="C59" s="381"/>
      <c r="D59" s="381"/>
      <c r="E59" s="384"/>
      <c r="F59" s="464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64"/>
      <c r="R59" s="23"/>
      <c r="S59" s="23"/>
    </row>
    <row r="60" spans="1:17" s="1" customFormat="1" ht="13.5" customHeight="1">
      <c r="A60" s="25" t="s">
        <v>72</v>
      </c>
      <c r="B60" s="443" t="str">
        <f>IF('[1]p19'!$A$78&lt;&gt;0,'[1]p19'!$A$78,"")</f>
        <v>Aline Barbosa Tsuyuguchi (Co-orientação Prof. Daniel Cordeiro)</v>
      </c>
      <c r="C60" s="443"/>
      <c r="D60" s="443"/>
      <c r="E60" s="443"/>
      <c r="F60" s="444"/>
      <c r="G60" s="26" t="s">
        <v>73</v>
      </c>
      <c r="H60" s="91">
        <f>IF('[1]p19'!$G$82&lt;&gt;0,'[1]p19'!$G$82,"")</f>
        <v>39295</v>
      </c>
      <c r="I60" s="26" t="s">
        <v>74</v>
      </c>
      <c r="J60" s="91" t="str">
        <f>IF('[1]p19'!$H$82&lt;&gt;0,'[1]p19'!$H$82,"")</f>
        <v>31/07/08</v>
      </c>
      <c r="K60" s="26" t="s">
        <v>78</v>
      </c>
      <c r="L60" s="471" t="str">
        <f>IF('[1]p19'!$J$80&lt;&gt;0,'[1]p19'!$J$80,"")</f>
        <v>CNPq</v>
      </c>
      <c r="M60" s="471"/>
      <c r="N60" s="113" t="s">
        <v>26</v>
      </c>
      <c r="O60" s="471" t="str">
        <f>IF('[1]p19'!$L$80&lt;&gt;0,'[1]p19'!$L$80,"")</f>
        <v>Concluído</v>
      </c>
      <c r="P60" s="472"/>
      <c r="Q60" s="64"/>
    </row>
    <row r="61" spans="1:17" s="1" customFormat="1" ht="13.5" customHeight="1">
      <c r="A61" s="25" t="s">
        <v>75</v>
      </c>
      <c r="B61" s="413" t="str">
        <f>IF('[1]p19'!$A$80&lt;&gt;0,'[1]p19'!$A$80,"")</f>
        <v>Teoria Analítica dos Números</v>
      </c>
      <c r="C61" s="413"/>
      <c r="D61" s="413"/>
      <c r="E61" s="413"/>
      <c r="F61" s="413"/>
      <c r="G61" s="413"/>
      <c r="H61" s="413"/>
      <c r="I61" s="413"/>
      <c r="J61" s="95" t="s">
        <v>27</v>
      </c>
      <c r="K61" s="413" t="str">
        <f>IF('[1]p19'!$A$82&lt;&gt;0,'[1]p19'!$A$82,"")</f>
        <v>PIBIC</v>
      </c>
      <c r="L61" s="413"/>
      <c r="M61" s="413"/>
      <c r="N61" s="413"/>
      <c r="O61" s="413"/>
      <c r="P61" s="413"/>
      <c r="Q61" s="64"/>
    </row>
    <row r="62" spans="1:17" ht="12.75">
      <c r="A62" s="461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64"/>
    </row>
    <row r="63" spans="1:17" s="1" customFormat="1" ht="13.5" customHeight="1">
      <c r="A63" s="25" t="s">
        <v>72</v>
      </c>
      <c r="B63" s="443" t="str">
        <f>IF('[1]p19'!$A$85&lt;&gt;0,'[1]p19'!$A$85,"")</f>
        <v>Hélio Alves Clementino</v>
      </c>
      <c r="C63" s="443"/>
      <c r="D63" s="443"/>
      <c r="E63" s="443"/>
      <c r="F63" s="444"/>
      <c r="G63" s="26" t="s">
        <v>73</v>
      </c>
      <c r="H63" s="91">
        <f>IF('[1]p19'!$G$89&lt;&gt;0,'[1]p19'!$G$89,"")</f>
        <v>39560</v>
      </c>
      <c r="I63" s="26" t="s">
        <v>74</v>
      </c>
      <c r="J63" s="91" t="str">
        <f>IF('[1]p19'!$H$89&lt;&gt;0,'[1]p19'!$H$89,"")</f>
        <v>29/08/08</v>
      </c>
      <c r="K63" s="26" t="s">
        <v>78</v>
      </c>
      <c r="L63" s="471" t="str">
        <f>IF('[1]p19'!$J$87&lt;&gt;0,'[1]p19'!$J$87,"")</f>
        <v>UFCG</v>
      </c>
      <c r="M63" s="471"/>
      <c r="N63" s="113" t="s">
        <v>26</v>
      </c>
      <c r="O63" s="471" t="str">
        <f>IF('[1]p19'!$L$87&lt;&gt;0,'[1]p19'!$L$87,"")</f>
        <v>Concluído</v>
      </c>
      <c r="P63" s="472"/>
      <c r="Q63" s="64"/>
    </row>
    <row r="64" spans="1:17" s="1" customFormat="1" ht="13.5" customHeight="1">
      <c r="A64" s="25" t="s">
        <v>75</v>
      </c>
      <c r="B64" s="413" t="str">
        <f>IF('[1]p19'!$A$87&lt;&gt;0,'[1]p19'!$A$87,"")</f>
        <v>Monitoria - Álgebra Vetorial</v>
      </c>
      <c r="C64" s="413"/>
      <c r="D64" s="413"/>
      <c r="E64" s="413"/>
      <c r="F64" s="413"/>
      <c r="G64" s="413"/>
      <c r="H64" s="413"/>
      <c r="I64" s="413"/>
      <c r="J64" s="95" t="s">
        <v>27</v>
      </c>
      <c r="K64" s="413" t="str">
        <f>IF('[1]p19'!$A$89&lt;&gt;0,'[1]p19'!$A$89,"")</f>
        <v>Monitoria</v>
      </c>
      <c r="L64" s="413"/>
      <c r="M64" s="413"/>
      <c r="N64" s="413"/>
      <c r="O64" s="413"/>
      <c r="P64" s="413"/>
      <c r="Q64" s="64"/>
    </row>
    <row r="65" spans="1:17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64"/>
    </row>
    <row r="66" spans="1:17" s="1" customFormat="1" ht="13.5" customHeight="1">
      <c r="A66" s="25" t="s">
        <v>72</v>
      </c>
      <c r="B66" s="443" t="str">
        <f>IF('[1]p19'!$A$92&lt;&gt;0,'[1]p19'!$A$92,"")</f>
        <v>Diego Pereira Cavalcanti</v>
      </c>
      <c r="C66" s="443"/>
      <c r="D66" s="443"/>
      <c r="E66" s="443"/>
      <c r="F66" s="444"/>
      <c r="G66" s="26" t="s">
        <v>73</v>
      </c>
      <c r="H66" s="91">
        <f>IF('[1]p19'!$G$96&lt;&gt;0,'[1]p19'!$G$96,"")</f>
        <v>39560</v>
      </c>
      <c r="I66" s="26" t="s">
        <v>74</v>
      </c>
      <c r="J66" s="91" t="str">
        <f>IF('[1]p19'!$H$96&lt;&gt;0,'[1]p19'!$H$96,"")</f>
        <v>29/08/08</v>
      </c>
      <c r="K66" s="26" t="s">
        <v>78</v>
      </c>
      <c r="L66" s="471" t="str">
        <f>IF('[1]p19'!$J$94&lt;&gt;0,'[1]p19'!$J$94,"")</f>
        <v>UFCG</v>
      </c>
      <c r="M66" s="471"/>
      <c r="N66" s="113" t="s">
        <v>26</v>
      </c>
      <c r="O66" s="471" t="str">
        <f>IF('[1]p19'!$L$94&lt;&gt;0,'[1]p19'!$L$94,"")</f>
        <v>Concluído</v>
      </c>
      <c r="P66" s="472"/>
      <c r="Q66" s="64"/>
    </row>
    <row r="67" spans="1:17" s="1" customFormat="1" ht="13.5" customHeight="1">
      <c r="A67" s="25" t="s">
        <v>75</v>
      </c>
      <c r="B67" s="413" t="str">
        <f>IF('[1]p19'!$A$94&lt;&gt;0,'[1]p19'!$A$94,"")</f>
        <v>Monitoria - Álgebra Vetorial</v>
      </c>
      <c r="C67" s="413"/>
      <c r="D67" s="413"/>
      <c r="E67" s="413"/>
      <c r="F67" s="413"/>
      <c r="G67" s="413"/>
      <c r="H67" s="413"/>
      <c r="I67" s="413"/>
      <c r="J67" s="95" t="s">
        <v>27</v>
      </c>
      <c r="K67" s="413" t="str">
        <f>IF('[1]p19'!$A$96&lt;&gt;0,'[1]p19'!$A$96,"")</f>
        <v>Monitoria</v>
      </c>
      <c r="L67" s="413"/>
      <c r="M67" s="413"/>
      <c r="N67" s="413"/>
      <c r="O67" s="413"/>
      <c r="P67" s="413"/>
      <c r="Q67" s="64"/>
    </row>
    <row r="68" spans="1:17" ht="12.75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64"/>
    </row>
    <row r="69" spans="1:17" s="1" customFormat="1" ht="13.5" customHeight="1">
      <c r="A69" s="25" t="s">
        <v>72</v>
      </c>
      <c r="B69" s="443" t="str">
        <f>IF('[1]p19'!$A$99&lt;&gt;0,'[1]p19'!$A$99,"")</f>
        <v>Maria Wedna Gomes Pereira</v>
      </c>
      <c r="C69" s="443"/>
      <c r="D69" s="443"/>
      <c r="E69" s="443"/>
      <c r="F69" s="444"/>
      <c r="G69" s="26" t="s">
        <v>73</v>
      </c>
      <c r="H69" s="91">
        <f>IF('[1]p19'!$G$103&lt;&gt;0,'[1]p19'!$G$103,"")</f>
      </c>
      <c r="I69" s="26" t="s">
        <v>74</v>
      </c>
      <c r="J69" s="91">
        <f>IF('[1]p19'!$H$103&lt;&gt;0,'[1]p19'!$H$103,"")</f>
      </c>
      <c r="K69" s="26" t="s">
        <v>78</v>
      </c>
      <c r="L69" s="471" t="str">
        <f>IF('[1]p19'!$J$101&lt;&gt;0,'[1]p19'!$J$101,"")</f>
        <v>UFCG</v>
      </c>
      <c r="M69" s="471"/>
      <c r="N69" s="113" t="s">
        <v>26</v>
      </c>
      <c r="O69" s="471" t="str">
        <f>IF('[1]p19'!$L$101&lt;&gt;0,'[1]p19'!$L$101,"")</f>
        <v>Em andamento</v>
      </c>
      <c r="P69" s="472"/>
      <c r="Q69" s="64"/>
    </row>
    <row r="70" spans="1:17" s="1" customFormat="1" ht="13.5" customHeight="1">
      <c r="A70" s="25" t="s">
        <v>75</v>
      </c>
      <c r="B70" s="413" t="str">
        <f>IF('[1]p19'!$A$101&lt;&gt;0,'[1]p19'!$A$101,"")</f>
        <v>PROLICEM 2008 - Projeto: Contextualizando a Matemática</v>
      </c>
      <c r="C70" s="413"/>
      <c r="D70" s="413"/>
      <c r="E70" s="413"/>
      <c r="F70" s="413"/>
      <c r="G70" s="413"/>
      <c r="H70" s="413"/>
      <c r="I70" s="413"/>
      <c r="J70" s="95" t="s">
        <v>27</v>
      </c>
      <c r="K70" s="413" t="str">
        <f>IF('[1]p19'!$A$103&lt;&gt;0,'[1]p19'!$A$103,"")</f>
        <v>PROLICEN</v>
      </c>
      <c r="L70" s="413"/>
      <c r="M70" s="413"/>
      <c r="N70" s="413"/>
      <c r="O70" s="413"/>
      <c r="P70" s="413"/>
      <c r="Q70" s="64"/>
    </row>
    <row r="71" spans="1:19" s="9" customFormat="1" ht="12.75">
      <c r="A71" s="382" t="str">
        <f>T('[1]p20'!$C$13:$G$13)</f>
        <v>José de Arimatéia Fernandes</v>
      </c>
      <c r="B71" s="381"/>
      <c r="C71" s="381"/>
      <c r="D71" s="381"/>
      <c r="E71" s="384"/>
      <c r="F71" s="464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64"/>
      <c r="R71" s="23"/>
      <c r="S71" s="23"/>
    </row>
    <row r="72" spans="1:17" s="1" customFormat="1" ht="13.5" customHeight="1">
      <c r="A72" s="25" t="s">
        <v>72</v>
      </c>
      <c r="B72" s="443" t="str">
        <f>IF('[1]p20'!$A$78&lt;&gt;0,'[1]p20'!$A$78,"")</f>
        <v>João Paulo Formiga de Meneses</v>
      </c>
      <c r="C72" s="443"/>
      <c r="D72" s="443"/>
      <c r="E72" s="443"/>
      <c r="F72" s="444"/>
      <c r="G72" s="26" t="s">
        <v>73</v>
      </c>
      <c r="H72" s="91">
        <f>IF('[1]p20'!$G$82&lt;&gt;0,'[1]p20'!$G$82,"")</f>
        <v>39661</v>
      </c>
      <c r="I72" s="26" t="s">
        <v>74</v>
      </c>
      <c r="J72" s="91">
        <f>IF('[1]p20'!$H$82&lt;&gt;0,'[1]p20'!$H$82,"")</f>
        <v>40025</v>
      </c>
      <c r="K72" s="26" t="s">
        <v>78</v>
      </c>
      <c r="L72" s="471" t="str">
        <f>IF('[1]p20'!$J$80&lt;&gt;0,'[1]p20'!$J$80,"")</f>
        <v>CNPq</v>
      </c>
      <c r="M72" s="471"/>
      <c r="N72" s="113" t="s">
        <v>26</v>
      </c>
      <c r="O72" s="471" t="str">
        <f>IF('[1]p20'!$L$80&lt;&gt;0,'[1]p20'!$L$80,"")</f>
        <v>Em andamento</v>
      </c>
      <c r="P72" s="472"/>
      <c r="Q72" s="64"/>
    </row>
    <row r="73" spans="1:17" s="1" customFormat="1" ht="13.5" customHeight="1">
      <c r="A73" s="25" t="s">
        <v>75</v>
      </c>
      <c r="B73" s="413" t="str">
        <f>IF('[1]p20'!$A$80&lt;&gt;0,'[1]p20'!$A$80,"")</f>
        <v>Iniciação às Equações Diferenciais Parciais</v>
      </c>
      <c r="C73" s="413"/>
      <c r="D73" s="413"/>
      <c r="E73" s="413"/>
      <c r="F73" s="413"/>
      <c r="G73" s="413"/>
      <c r="H73" s="413"/>
      <c r="I73" s="413"/>
      <c r="J73" s="95" t="s">
        <v>27</v>
      </c>
      <c r="K73" s="413" t="str">
        <f>IF('[1]p20'!$A$82&lt;&gt;0,'[1]p20'!$A$82,"")</f>
        <v>PIBIC</v>
      </c>
      <c r="L73" s="413"/>
      <c r="M73" s="413"/>
      <c r="N73" s="413"/>
      <c r="O73" s="413"/>
      <c r="P73" s="413"/>
      <c r="Q73" s="64"/>
    </row>
    <row r="74" spans="1:17" ht="12.75">
      <c r="A74" s="461"/>
      <c r="B74" s="461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64"/>
    </row>
    <row r="75" spans="1:17" s="1" customFormat="1" ht="13.5" customHeight="1">
      <c r="A75" s="25" t="s">
        <v>72</v>
      </c>
      <c r="B75" s="443" t="str">
        <f>IF('[1]p20'!$A$85&lt;&gt;0,'[1]p20'!$A$85,"")</f>
        <v>Anderson Gleryston Silva Sousa</v>
      </c>
      <c r="C75" s="443"/>
      <c r="D75" s="443"/>
      <c r="E75" s="443"/>
      <c r="F75" s="444"/>
      <c r="G75" s="26" t="s">
        <v>73</v>
      </c>
      <c r="H75" s="91">
        <f>IF('[1]p20'!$G$89&lt;&gt;0,'[1]p20'!$G$89,"")</f>
        <v>39539</v>
      </c>
      <c r="I75" s="26" t="s">
        <v>74</v>
      </c>
      <c r="J75" s="91">
        <f>IF('[1]p20'!$H$89&lt;&gt;0,'[1]p20'!$H$89,"")</f>
        <v>39792</v>
      </c>
      <c r="K75" s="26" t="s">
        <v>78</v>
      </c>
      <c r="L75" s="471" t="str">
        <f>IF('[1]p20'!$J$87&lt;&gt;0,'[1]p20'!$J$87,"")</f>
        <v>UFCG</v>
      </c>
      <c r="M75" s="471"/>
      <c r="N75" s="113" t="s">
        <v>26</v>
      </c>
      <c r="O75" s="471" t="str">
        <f>IF('[1]p20'!$L$87&lt;&gt;0,'[1]p20'!$L$87,"")</f>
        <v>Em andamento</v>
      </c>
      <c r="P75" s="472"/>
      <c r="Q75" s="64"/>
    </row>
    <row r="76" spans="1:17" s="1" customFormat="1" ht="13.5" customHeight="1">
      <c r="A76" s="25" t="s">
        <v>75</v>
      </c>
      <c r="B76" s="413" t="str">
        <f>IF('[1]p20'!$A$87&lt;&gt;0,'[1]p20'!$A$87,"")</f>
        <v>Olimpíada Campinense de Matemática</v>
      </c>
      <c r="C76" s="413"/>
      <c r="D76" s="413"/>
      <c r="E76" s="413"/>
      <c r="F76" s="413"/>
      <c r="G76" s="413"/>
      <c r="H76" s="413"/>
      <c r="I76" s="413"/>
      <c r="J76" s="95" t="s">
        <v>27</v>
      </c>
      <c r="K76" s="413" t="str">
        <f>IF('[1]p20'!$A$89&lt;&gt;0,'[1]p20'!$A$89,"")</f>
        <v>Extensão-PROBEX</v>
      </c>
      <c r="L76" s="413"/>
      <c r="M76" s="413"/>
      <c r="N76" s="413"/>
      <c r="O76" s="413"/>
      <c r="P76" s="413"/>
      <c r="Q76" s="64"/>
    </row>
    <row r="77" spans="1:17" ht="12.75">
      <c r="A77" s="461"/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64"/>
    </row>
    <row r="78" spans="1:17" s="1" customFormat="1" ht="13.5" customHeight="1">
      <c r="A78" s="25" t="s">
        <v>72</v>
      </c>
      <c r="B78" s="443" t="str">
        <f>IF('[1]p20'!$A$92&lt;&gt;0,'[1]p20'!$A$92,"")</f>
        <v>Felipe Gonçalves Assis</v>
      </c>
      <c r="C78" s="443"/>
      <c r="D78" s="443"/>
      <c r="E78" s="443"/>
      <c r="F78" s="444"/>
      <c r="G78" s="26" t="s">
        <v>73</v>
      </c>
      <c r="H78" s="91">
        <f>IF('[1]p20'!$G$96&lt;&gt;0,'[1]p20'!$G$96,"")</f>
        <v>39539</v>
      </c>
      <c r="I78" s="26" t="s">
        <v>74</v>
      </c>
      <c r="J78" s="91">
        <f>IF('[1]p20'!$H$96&lt;&gt;0,'[1]p20'!$H$96,"")</f>
        <v>39792</v>
      </c>
      <c r="K78" s="26" t="s">
        <v>78</v>
      </c>
      <c r="L78" s="471" t="str">
        <f>IF('[1]p20'!$J$94&lt;&gt;0,'[1]p20'!$J$94,"")</f>
        <v>UFCG</v>
      </c>
      <c r="M78" s="471"/>
      <c r="N78" s="113" t="s">
        <v>26</v>
      </c>
      <c r="O78" s="471" t="str">
        <f>IF('[1]p20'!$L$94&lt;&gt;0,'[1]p20'!$L$94,"")</f>
        <v>Em andamento</v>
      </c>
      <c r="P78" s="472"/>
      <c r="Q78" s="64"/>
    </row>
    <row r="79" spans="1:17" s="1" customFormat="1" ht="13.5" customHeight="1">
      <c r="A79" s="25" t="s">
        <v>75</v>
      </c>
      <c r="B79" s="413" t="str">
        <f>IF('[1]p20'!$A$94&lt;&gt;0,'[1]p20'!$A$94,"")</f>
        <v>Olimpíada Campinense de Matemática</v>
      </c>
      <c r="C79" s="413"/>
      <c r="D79" s="413"/>
      <c r="E79" s="413"/>
      <c r="F79" s="413"/>
      <c r="G79" s="413"/>
      <c r="H79" s="413"/>
      <c r="I79" s="413"/>
      <c r="J79" s="95" t="s">
        <v>27</v>
      </c>
      <c r="K79" s="413" t="str">
        <f>IF('[1]p20'!$A$96&lt;&gt;0,'[1]p20'!$A$96,"")</f>
        <v>Extensão-PROBEX</v>
      </c>
      <c r="L79" s="413"/>
      <c r="M79" s="413"/>
      <c r="N79" s="413"/>
      <c r="O79" s="413"/>
      <c r="P79" s="413"/>
      <c r="Q79" s="64"/>
    </row>
    <row r="80" spans="1:17" ht="12.75">
      <c r="A80" s="461"/>
      <c r="B80" s="461"/>
      <c r="C80" s="461"/>
      <c r="D80" s="461"/>
      <c r="E80" s="461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64"/>
    </row>
    <row r="81" spans="1:19" s="9" customFormat="1" ht="12.75">
      <c r="A81" s="382" t="str">
        <f>T('[1]p22'!$C$13:$G$13)</f>
        <v>José Lindomberg Possiano Barreiro</v>
      </c>
      <c r="B81" s="381"/>
      <c r="C81" s="381"/>
      <c r="D81" s="381"/>
      <c r="E81" s="384"/>
      <c r="F81" s="464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64"/>
      <c r="R81" s="23"/>
      <c r="S81" s="23"/>
    </row>
    <row r="82" spans="1:17" s="1" customFormat="1" ht="13.5" customHeight="1">
      <c r="A82" s="25" t="s">
        <v>72</v>
      </c>
      <c r="B82" s="443" t="str">
        <f>IF('[1]p22'!$A$78&lt;&gt;0,'[1]p22'!$A$78,"")</f>
        <v>Flávia Daylane Tavares de Luna</v>
      </c>
      <c r="C82" s="443"/>
      <c r="D82" s="443"/>
      <c r="E82" s="443"/>
      <c r="F82" s="444"/>
      <c r="G82" s="26" t="s">
        <v>73</v>
      </c>
      <c r="H82" s="91">
        <f>IF('[1]p22'!$G$82&lt;&gt;0,'[1]p22'!$G$82,"")</f>
        <v>39573</v>
      </c>
      <c r="I82" s="26" t="s">
        <v>74</v>
      </c>
      <c r="J82" s="91">
        <f>IF('[1]p22'!$H$82&lt;&gt;0,'[1]p22'!$H$82,"")</f>
        <v>39685</v>
      </c>
      <c r="K82" s="26" t="s">
        <v>78</v>
      </c>
      <c r="L82" s="471" t="str">
        <f>IF('[1]p22'!$J$80&lt;&gt;0,'[1]p22'!$J$80,"")</f>
        <v>UFCG</v>
      </c>
      <c r="M82" s="471"/>
      <c r="N82" s="113" t="s">
        <v>26</v>
      </c>
      <c r="O82" s="471" t="str">
        <f>IF('[1]p22'!$L$80&lt;&gt;0,'[1]p22'!$L$80,"")</f>
        <v>Concluído</v>
      </c>
      <c r="P82" s="472"/>
      <c r="Q82" s="64"/>
    </row>
    <row r="83" spans="1:17" s="1" customFormat="1" ht="13.5" customHeight="1">
      <c r="A83" s="25" t="s">
        <v>75</v>
      </c>
      <c r="B83" s="413" t="str">
        <f>IF('[1]p22'!$A$80&lt;&gt;0,'[1]p22'!$A$80,"")</f>
        <v>Cálculo Diferencial e Integral II</v>
      </c>
      <c r="C83" s="413"/>
      <c r="D83" s="413"/>
      <c r="E83" s="413"/>
      <c r="F83" s="413"/>
      <c r="G83" s="413"/>
      <c r="H83" s="413"/>
      <c r="I83" s="413"/>
      <c r="J83" s="95" t="s">
        <v>27</v>
      </c>
      <c r="K83" s="413" t="str">
        <f>IF('[1]p22'!$A$82&lt;&gt;0,'[1]p22'!$A$82,"")</f>
        <v>Monitoria</v>
      </c>
      <c r="L83" s="413"/>
      <c r="M83" s="413"/>
      <c r="N83" s="413"/>
      <c r="O83" s="413"/>
      <c r="P83" s="413"/>
      <c r="Q83" s="64"/>
    </row>
    <row r="84" spans="1:17" ht="12.75">
      <c r="A84" s="461"/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64"/>
    </row>
    <row r="85" spans="1:17" s="1" customFormat="1" ht="13.5" customHeight="1">
      <c r="A85" s="25" t="s">
        <v>72</v>
      </c>
      <c r="B85" s="443" t="str">
        <f>IF('[1]p22'!$A$85&lt;&gt;0,'[1]p22'!$A$85,"")</f>
        <v>Raphael Tavares de Alencar</v>
      </c>
      <c r="C85" s="443"/>
      <c r="D85" s="443"/>
      <c r="E85" s="443"/>
      <c r="F85" s="444"/>
      <c r="G85" s="26" t="s">
        <v>73</v>
      </c>
      <c r="H85" s="91">
        <f>IF('[1]p22'!$G$89&lt;&gt;0,'[1]p22'!$G$89,"")</f>
        <v>39573</v>
      </c>
      <c r="I85" s="26" t="s">
        <v>74</v>
      </c>
      <c r="J85" s="91">
        <f>IF('[1]p22'!$H$89&lt;&gt;0,'[1]p22'!$H$89,"")</f>
        <v>39685</v>
      </c>
      <c r="K85" s="26" t="s">
        <v>78</v>
      </c>
      <c r="L85" s="471" t="str">
        <f>IF('[1]p22'!$J$87&lt;&gt;0,'[1]p22'!$J$87,"")</f>
        <v>UFCG</v>
      </c>
      <c r="M85" s="471"/>
      <c r="N85" s="113" t="s">
        <v>26</v>
      </c>
      <c r="O85" s="471" t="str">
        <f>IF('[1]p22'!$L$87&lt;&gt;0,'[1]p22'!$L$87,"")</f>
        <v>Concluído</v>
      </c>
      <c r="P85" s="472"/>
      <c r="Q85" s="64"/>
    </row>
    <row r="86" spans="1:17" s="1" customFormat="1" ht="13.5" customHeight="1">
      <c r="A86" s="25" t="s">
        <v>75</v>
      </c>
      <c r="B86" s="413" t="str">
        <f>IF('[1]p22'!$A$87&lt;&gt;0,'[1]p22'!$A$87,"")</f>
        <v>Cálculo Diferencial e Integral II</v>
      </c>
      <c r="C86" s="413"/>
      <c r="D86" s="413"/>
      <c r="E86" s="413"/>
      <c r="F86" s="413"/>
      <c r="G86" s="413"/>
      <c r="H86" s="413"/>
      <c r="I86" s="413"/>
      <c r="J86" s="95" t="s">
        <v>27</v>
      </c>
      <c r="K86" s="413" t="str">
        <f>IF('[1]p22'!$A$89&lt;&gt;0,'[1]p22'!$A$89,"")</f>
        <v>Monitoria</v>
      </c>
      <c r="L86" s="413"/>
      <c r="M86" s="413"/>
      <c r="N86" s="413"/>
      <c r="O86" s="413"/>
      <c r="P86" s="413"/>
      <c r="Q86" s="64"/>
    </row>
    <row r="87" spans="1:17" ht="12.75">
      <c r="A87" s="461"/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64"/>
    </row>
    <row r="88" spans="1:17" s="1" customFormat="1" ht="13.5" customHeight="1">
      <c r="A88" s="25" t="s">
        <v>72</v>
      </c>
      <c r="B88" s="443" t="str">
        <f>IF('[1]p22'!$A$99&lt;&gt;0,'[1]p22'!$A$99,"")</f>
        <v>Israel Buriti Galvão</v>
      </c>
      <c r="C88" s="443"/>
      <c r="D88" s="443"/>
      <c r="E88" s="443"/>
      <c r="F88" s="444"/>
      <c r="G88" s="26" t="s">
        <v>73</v>
      </c>
      <c r="H88" s="91">
        <f>IF('[1]p22'!$G$103&lt;&gt;0,'[1]p22'!$G$103,"")</f>
        <v>39295</v>
      </c>
      <c r="I88" s="26" t="s">
        <v>74</v>
      </c>
      <c r="J88" s="91">
        <f>IF('[1]p22'!$H$103&lt;&gt;0,'[1]p22'!$H$103,"")</f>
        <v>39629</v>
      </c>
      <c r="K88" s="26" t="s">
        <v>78</v>
      </c>
      <c r="L88" s="471" t="str">
        <f>IF('[1]p22'!$J$101&lt;&gt;0,'[1]p22'!$J$101,"")</f>
        <v>CNPq</v>
      </c>
      <c r="M88" s="471"/>
      <c r="N88" s="113" t="s">
        <v>26</v>
      </c>
      <c r="O88" s="471" t="str">
        <f>IF('[1]p22'!$L$101&lt;&gt;0,'[1]p22'!$L$101,"")</f>
        <v>Concluído</v>
      </c>
      <c r="P88" s="472"/>
      <c r="Q88" s="64"/>
    </row>
    <row r="89" spans="1:17" s="1" customFormat="1" ht="13.5" customHeight="1">
      <c r="A89" s="25" t="s">
        <v>75</v>
      </c>
      <c r="B89" s="413" t="str">
        <f>IF('[1]p22'!$A$101&lt;&gt;0,'[1]p22'!$A$101,"")</f>
        <v>Princípios do Máximo para Equações Diferenciais Parciais e Aplicações</v>
      </c>
      <c r="C89" s="413"/>
      <c r="D89" s="413"/>
      <c r="E89" s="413"/>
      <c r="F89" s="413"/>
      <c r="G89" s="413"/>
      <c r="H89" s="413"/>
      <c r="I89" s="413"/>
      <c r="J89" s="95" t="s">
        <v>27</v>
      </c>
      <c r="K89" s="413" t="str">
        <f>IF('[1]p22'!$A$103&lt;&gt;0,'[1]p22'!$A$103,"")</f>
        <v>PIBIC</v>
      </c>
      <c r="L89" s="413"/>
      <c r="M89" s="413"/>
      <c r="N89" s="413"/>
      <c r="O89" s="413"/>
      <c r="P89" s="413"/>
      <c r="Q89" s="64"/>
    </row>
    <row r="90" spans="1:16" ht="12.75">
      <c r="A90" s="460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</row>
    <row r="91" spans="1:19" s="9" customFormat="1" ht="12.75">
      <c r="A91" s="382" t="str">
        <f>T('[1]p23'!$C$13:$G$13)</f>
        <v>José Luiz Neto</v>
      </c>
      <c r="B91" s="381"/>
      <c r="C91" s="381"/>
      <c r="D91" s="381"/>
      <c r="E91" s="384"/>
      <c r="F91" s="464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64"/>
      <c r="R91" s="23"/>
      <c r="S91" s="23"/>
    </row>
    <row r="92" spans="1:17" s="1" customFormat="1" ht="13.5" customHeight="1">
      <c r="A92" s="25" t="s">
        <v>72</v>
      </c>
      <c r="B92" s="443" t="str">
        <f>IF('[1]p23'!$A$78&lt;&gt;0,'[1]p23'!$A$78,"")</f>
        <v>Maria de Fátima Pereira</v>
      </c>
      <c r="C92" s="443"/>
      <c r="D92" s="443"/>
      <c r="E92" s="443"/>
      <c r="F92" s="444"/>
      <c r="G92" s="26" t="s">
        <v>73</v>
      </c>
      <c r="H92" s="91">
        <f>IF('[1]p23'!$G$82&lt;&gt;0,'[1]p23'!$G$82,"")</f>
        <v>39573</v>
      </c>
      <c r="I92" s="26" t="s">
        <v>74</v>
      </c>
      <c r="J92" s="91">
        <f>IF('[1]p23'!$H$82&lt;&gt;0,'[1]p23'!$H$82,"")</f>
      </c>
      <c r="K92" s="26" t="s">
        <v>78</v>
      </c>
      <c r="L92" s="471" t="str">
        <f>IF('[1]p23'!$J$80&lt;&gt;0,'[1]p23'!$J$80,"")</f>
        <v>UFCG</v>
      </c>
      <c r="M92" s="471"/>
      <c r="N92" s="113" t="s">
        <v>26</v>
      </c>
      <c r="O92" s="471" t="str">
        <f>IF('[1]p23'!$L$80&lt;&gt;0,'[1]p23'!$L$80,"")</f>
        <v>Em andamento</v>
      </c>
      <c r="P92" s="472"/>
      <c r="Q92" s="64"/>
    </row>
    <row r="93" spans="1:17" s="1" customFormat="1" ht="13.5" customHeight="1">
      <c r="A93" s="25" t="s">
        <v>75</v>
      </c>
      <c r="B93" s="413" t="str">
        <f>IF('[1]p23'!$A$80&lt;&gt;0,'[1]p23'!$A$80,"")</f>
        <v>Contextualuzando a Matemática</v>
      </c>
      <c r="C93" s="413"/>
      <c r="D93" s="413"/>
      <c r="E93" s="413"/>
      <c r="F93" s="413"/>
      <c r="G93" s="413"/>
      <c r="H93" s="413"/>
      <c r="I93" s="413"/>
      <c r="J93" s="95" t="s">
        <v>27</v>
      </c>
      <c r="K93" s="413" t="str">
        <f>IF('[1]p23'!$A$82&lt;&gt;0,'[1]p23'!$A$82,"")</f>
        <v>PROLICEN</v>
      </c>
      <c r="L93" s="413"/>
      <c r="M93" s="413"/>
      <c r="N93" s="413"/>
      <c r="O93" s="413"/>
      <c r="P93" s="413"/>
      <c r="Q93" s="64"/>
    </row>
    <row r="94" spans="1:17" ht="12.75">
      <c r="A94" s="461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64"/>
    </row>
    <row r="95" spans="1:17" s="1" customFormat="1" ht="13.5" customHeight="1">
      <c r="A95" s="25" t="s">
        <v>72</v>
      </c>
      <c r="B95" s="443" t="str">
        <f>IF('[1]p23'!$A$85&lt;&gt;0,'[1]p23'!$A$85,"")</f>
        <v>Kleber Jessivaldo Gomes das Chagas  </v>
      </c>
      <c r="C95" s="443"/>
      <c r="D95" s="443"/>
      <c r="E95" s="443"/>
      <c r="F95" s="444"/>
      <c r="G95" s="26" t="s">
        <v>73</v>
      </c>
      <c r="H95" s="91">
        <f>IF('[1]p23'!$G$89&lt;&gt;0,'[1]p23'!$G$89,"")</f>
        <v>39573</v>
      </c>
      <c r="I95" s="26" t="s">
        <v>74</v>
      </c>
      <c r="J95" s="91">
        <f>IF('[1]p23'!$H$89&lt;&gt;0,'[1]p23'!$H$89,"")</f>
      </c>
      <c r="K95" s="26" t="s">
        <v>78</v>
      </c>
      <c r="L95" s="471" t="str">
        <f>IF('[1]p23'!$J$87&lt;&gt;0,'[1]p23'!$J$87,"")</f>
        <v>UFCG</v>
      </c>
      <c r="M95" s="471"/>
      <c r="N95" s="113" t="s">
        <v>26</v>
      </c>
      <c r="O95" s="471" t="str">
        <f>IF('[1]p23'!$L$87&lt;&gt;0,'[1]p23'!$L$87,"")</f>
        <v>Em andamento</v>
      </c>
      <c r="P95" s="472"/>
      <c r="Q95" s="64"/>
    </row>
    <row r="96" spans="1:17" s="1" customFormat="1" ht="13.5" customHeight="1">
      <c r="A96" s="25" t="s">
        <v>75</v>
      </c>
      <c r="B96" s="413" t="str">
        <f>IF('[1]p23'!$A$87&lt;&gt;0,'[1]p23'!$A$87,"")</f>
        <v>MELHORIA DO ENSINO DE GRADUAÇÃO NA UAME/CCT/UFCG</v>
      </c>
      <c r="C96" s="413"/>
      <c r="D96" s="413"/>
      <c r="E96" s="413"/>
      <c r="F96" s="413"/>
      <c r="G96" s="413"/>
      <c r="H96" s="413"/>
      <c r="I96" s="413"/>
      <c r="J96" s="95" t="s">
        <v>27</v>
      </c>
      <c r="K96" s="413" t="str">
        <f>IF('[1]p23'!$A$89&lt;&gt;0,'[1]p23'!$A$89,"")</f>
        <v>Monitoria</v>
      </c>
      <c r="L96" s="413"/>
      <c r="M96" s="413"/>
      <c r="N96" s="413"/>
      <c r="O96" s="413"/>
      <c r="P96" s="413"/>
      <c r="Q96" s="64"/>
    </row>
    <row r="97" spans="1:17" ht="12.75">
      <c r="A97" s="461"/>
      <c r="B97" s="461"/>
      <c r="C97" s="461"/>
      <c r="D97" s="461"/>
      <c r="E97" s="461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64"/>
    </row>
    <row r="98" spans="1:19" s="9" customFormat="1" ht="12.75">
      <c r="A98" s="382" t="str">
        <f>T('[1]p25'!$C$13:$G$13)</f>
        <v>Marcelo Carvalho Ferreira</v>
      </c>
      <c r="B98" s="381"/>
      <c r="C98" s="381"/>
      <c r="D98" s="381"/>
      <c r="E98" s="384"/>
      <c r="F98" s="464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64"/>
      <c r="R98" s="23"/>
      <c r="S98" s="23"/>
    </row>
    <row r="99" spans="1:17" s="1" customFormat="1" ht="13.5" customHeight="1">
      <c r="A99" s="25" t="s">
        <v>72</v>
      </c>
      <c r="B99" s="443" t="str">
        <f>IF('[1]p25'!$A$78&lt;&gt;0,'[1]p25'!$A$78,"")</f>
        <v>Gustavo Galindo</v>
      </c>
      <c r="C99" s="443"/>
      <c r="D99" s="443"/>
      <c r="E99" s="443"/>
      <c r="F99" s="444"/>
      <c r="G99" s="26" t="s">
        <v>73</v>
      </c>
      <c r="H99" s="91">
        <f>IF('[1]p25'!$G$82&lt;&gt;0,'[1]p25'!$G$82,"")</f>
      </c>
      <c r="I99" s="26" t="s">
        <v>74</v>
      </c>
      <c r="J99" s="91">
        <f>IF('[1]p25'!$H$82&lt;&gt;0,'[1]p25'!$H$82,"")</f>
      </c>
      <c r="K99" s="26" t="s">
        <v>78</v>
      </c>
      <c r="L99" s="471" t="str">
        <f>IF('[1]p25'!$J$80&lt;&gt;0,'[1]p25'!$J$80,"")</f>
        <v>UFCG</v>
      </c>
      <c r="M99" s="471"/>
      <c r="N99" s="113" t="s">
        <v>26</v>
      </c>
      <c r="O99" s="471" t="str">
        <f>IF('[1]p25'!$L$80&lt;&gt;0,'[1]p25'!$L$80,"")</f>
        <v>Concluído</v>
      </c>
      <c r="P99" s="472"/>
      <c r="Q99" s="64"/>
    </row>
    <row r="100" spans="1:17" s="1" customFormat="1" ht="13.5" customHeight="1">
      <c r="A100" s="25" t="s">
        <v>75</v>
      </c>
      <c r="B100" s="413" t="str">
        <f>IF('[1]p25'!$A$80&lt;&gt;0,'[1]p25'!$A$80,"")</f>
        <v>Monitoria</v>
      </c>
      <c r="C100" s="413"/>
      <c r="D100" s="413"/>
      <c r="E100" s="413"/>
      <c r="F100" s="413"/>
      <c r="G100" s="413"/>
      <c r="H100" s="413"/>
      <c r="I100" s="413"/>
      <c r="J100" s="95" t="s">
        <v>27</v>
      </c>
      <c r="K100" s="413" t="str">
        <f>IF('[1]p25'!$A$82&lt;&gt;0,'[1]p25'!$A$82,"")</f>
        <v>Monitoria</v>
      </c>
      <c r="L100" s="413"/>
      <c r="M100" s="413"/>
      <c r="N100" s="413"/>
      <c r="O100" s="413"/>
      <c r="P100" s="413"/>
      <c r="Q100" s="64"/>
    </row>
    <row r="101" spans="1:17" ht="12.75">
      <c r="A101" s="461"/>
      <c r="B101" s="461"/>
      <c r="C101" s="461"/>
      <c r="D101" s="461"/>
      <c r="E101" s="461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64"/>
    </row>
    <row r="102" spans="1:19" s="9" customFormat="1" ht="12.75">
      <c r="A102" s="382" t="str">
        <f>T('[1]p26'!$C$13:$G$13)</f>
        <v>Marco Aurélio Soares Souto</v>
      </c>
      <c r="B102" s="381"/>
      <c r="C102" s="381"/>
      <c r="D102" s="381"/>
      <c r="E102" s="384"/>
      <c r="F102" s="464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64"/>
      <c r="R102" s="23"/>
      <c r="S102" s="23"/>
    </row>
    <row r="103" spans="1:17" s="1" customFormat="1" ht="13.5" customHeight="1">
      <c r="A103" s="25" t="s">
        <v>72</v>
      </c>
      <c r="B103" s="443" t="str">
        <f>IF('[1]p26'!$A$78&lt;&gt;0,'[1]p26'!$A$78,"")</f>
        <v>Eraldo Almeida Lima Júnior</v>
      </c>
      <c r="C103" s="443"/>
      <c r="D103" s="443"/>
      <c r="E103" s="443"/>
      <c r="F103" s="444"/>
      <c r="G103" s="26" t="s">
        <v>73</v>
      </c>
      <c r="H103" s="91">
        <f>IF('[1]p26'!$G$82&lt;&gt;0,'[1]p26'!$G$82,"")</f>
        <v>39295</v>
      </c>
      <c r="I103" s="26" t="s">
        <v>74</v>
      </c>
      <c r="J103" s="91">
        <f>IF('[1]p26'!$H$82&lt;&gt;0,'[1]p26'!$H$82,"")</f>
        <v>39667</v>
      </c>
      <c r="K103" s="26" t="s">
        <v>78</v>
      </c>
      <c r="L103" s="471" t="str">
        <f>IF('[1]p26'!$J$80&lt;&gt;0,'[1]p26'!$J$80,"")</f>
        <v>CNPq</v>
      </c>
      <c r="M103" s="471"/>
      <c r="N103" s="113" t="s">
        <v>26</v>
      </c>
      <c r="O103" s="471" t="str">
        <f>IF('[1]p26'!$L$80&lt;&gt;0,'[1]p26'!$L$80,"")</f>
        <v>Em andamento</v>
      </c>
      <c r="P103" s="472"/>
      <c r="Q103" s="64"/>
    </row>
    <row r="104" spans="1:17" s="173" customFormat="1" ht="13.5" customHeight="1">
      <c r="A104" s="25" t="s">
        <v>75</v>
      </c>
      <c r="B104" s="413" t="str">
        <f>IF('[1]p26'!$A$80&lt;&gt;0,'[1]p26'!$A$80,"")</f>
        <v>Equações Diferenciais Aplicadas</v>
      </c>
      <c r="C104" s="413"/>
      <c r="D104" s="413"/>
      <c r="E104" s="413"/>
      <c r="F104" s="413"/>
      <c r="G104" s="413"/>
      <c r="H104" s="413"/>
      <c r="I104" s="413"/>
      <c r="J104" s="95" t="s">
        <v>27</v>
      </c>
      <c r="K104" s="413" t="str">
        <f>IF('[1]p26'!$A$82&lt;&gt;0,'[1]p26'!$A$82,"")</f>
        <v>PIBIC</v>
      </c>
      <c r="L104" s="413"/>
      <c r="M104" s="413"/>
      <c r="N104" s="413"/>
      <c r="O104" s="413"/>
      <c r="P104" s="413"/>
      <c r="Q104" s="172"/>
    </row>
    <row r="105" spans="1:17" ht="12.75">
      <c r="A105" s="466"/>
      <c r="B105" s="466"/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64"/>
    </row>
    <row r="106" spans="1:19" s="9" customFormat="1" ht="12.75">
      <c r="A106" s="382" t="str">
        <f>T('[1]p28'!$C$13:$G$13)</f>
        <v>Michelli Karinne Barros da Silva</v>
      </c>
      <c r="B106" s="381"/>
      <c r="C106" s="381"/>
      <c r="D106" s="381"/>
      <c r="E106" s="384"/>
      <c r="F106" s="464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64"/>
      <c r="R106" s="23"/>
      <c r="S106" s="23"/>
    </row>
    <row r="107" spans="1:17" s="1" customFormat="1" ht="13.5" customHeight="1">
      <c r="A107" s="25" t="s">
        <v>72</v>
      </c>
      <c r="B107" s="443" t="str">
        <f>IF('[1]p28'!$A$78&lt;&gt;0,'[1]p28'!$A$78,"")</f>
        <v>Rafael Baptista de Assis</v>
      </c>
      <c r="C107" s="443"/>
      <c r="D107" s="443"/>
      <c r="E107" s="443"/>
      <c r="F107" s="444"/>
      <c r="G107" s="26" t="s">
        <v>73</v>
      </c>
      <c r="H107" s="91">
        <f>IF('[1]p28'!$G$82&lt;&gt;0,'[1]p28'!$G$82,"")</f>
        <v>39661</v>
      </c>
      <c r="I107" s="26" t="s">
        <v>74</v>
      </c>
      <c r="J107" s="91">
        <f>IF('[1]p28'!$H$82&lt;&gt;0,'[1]p28'!$H$82,"")</f>
        <v>40025</v>
      </c>
      <c r="K107" s="26" t="s">
        <v>78</v>
      </c>
      <c r="L107" s="471" t="str">
        <f>IF('[1]p28'!$J$80&lt;&gt;0,'[1]p28'!$J$80,"")</f>
        <v>CNPq</v>
      </c>
      <c r="M107" s="471"/>
      <c r="N107" s="113" t="s">
        <v>26</v>
      </c>
      <c r="O107" s="471" t="str">
        <f>IF('[1]p28'!$L$80&lt;&gt;0,'[1]p28'!$L$80,"")</f>
        <v>Em andamento</v>
      </c>
      <c r="P107" s="472"/>
      <c r="Q107" s="64"/>
    </row>
    <row r="108" spans="1:17" s="1" customFormat="1" ht="13.5" customHeight="1">
      <c r="A108" s="25" t="s">
        <v>75</v>
      </c>
      <c r="B108" s="413" t="str">
        <f>IF('[1]p28'!$A$80&lt;&gt;0,'[1]p28'!$A$80,"")</f>
        <v>Modelos Birnbaum-Saunders generalizados</v>
      </c>
      <c r="C108" s="413"/>
      <c r="D108" s="413"/>
      <c r="E108" s="413"/>
      <c r="F108" s="413"/>
      <c r="G108" s="413"/>
      <c r="H108" s="413"/>
      <c r="I108" s="413"/>
      <c r="J108" s="95" t="s">
        <v>27</v>
      </c>
      <c r="K108" s="413" t="str">
        <f>IF('[1]p28'!$A$82&lt;&gt;0,'[1]p28'!$A$82,"")</f>
        <v>PIBIC</v>
      </c>
      <c r="L108" s="413"/>
      <c r="M108" s="413"/>
      <c r="N108" s="413"/>
      <c r="O108" s="413"/>
      <c r="P108" s="413"/>
      <c r="Q108" s="64"/>
    </row>
    <row r="109" spans="1:17" ht="12.75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  <c r="N109" s="461"/>
      <c r="O109" s="461"/>
      <c r="P109" s="461"/>
      <c r="Q109" s="64"/>
    </row>
    <row r="110" spans="1:17" s="1" customFormat="1" ht="13.5" customHeight="1">
      <c r="A110" s="25" t="s">
        <v>72</v>
      </c>
      <c r="B110" s="443" t="str">
        <f>IF('[1]p28'!$A$85&lt;&gt;0,'[1]p28'!$A$85,"")</f>
        <v>Maura Regina do Nascimento</v>
      </c>
      <c r="C110" s="443"/>
      <c r="D110" s="443"/>
      <c r="E110" s="443"/>
      <c r="F110" s="444"/>
      <c r="G110" s="26" t="s">
        <v>73</v>
      </c>
      <c r="H110" s="91">
        <f>IF('[1]p28'!$G$89&lt;&gt;0,'[1]p28'!$G$89,"")</f>
        <v>39560</v>
      </c>
      <c r="I110" s="26" t="s">
        <v>74</v>
      </c>
      <c r="J110" s="91">
        <f>IF('[1]p28'!$H$89&lt;&gt;0,'[1]p28'!$H$89,"")</f>
        <v>39801</v>
      </c>
      <c r="K110" s="26" t="s">
        <v>78</v>
      </c>
      <c r="L110" s="471" t="str">
        <f>IF('[1]p28'!$J$87&lt;&gt;0,'[1]p28'!$J$87,"")</f>
        <v>Não há</v>
      </c>
      <c r="M110" s="471"/>
      <c r="N110" s="113" t="s">
        <v>26</v>
      </c>
      <c r="O110" s="471" t="str">
        <f>IF('[1]p28'!$L$87&lt;&gt;0,'[1]p28'!$L$87,"")</f>
        <v>Em andamento</v>
      </c>
      <c r="P110" s="472"/>
      <c r="Q110" s="64"/>
    </row>
    <row r="111" spans="1:17" s="1" customFormat="1" ht="13.5" customHeight="1">
      <c r="A111" s="25" t="s">
        <v>75</v>
      </c>
      <c r="B111" s="413" t="str">
        <f>IF('[1]p28'!$A$87&lt;&gt;0,'[1]p28'!$A$87,"")</f>
        <v>Modelos lineares com R</v>
      </c>
      <c r="C111" s="413"/>
      <c r="D111" s="413"/>
      <c r="E111" s="413"/>
      <c r="F111" s="413"/>
      <c r="G111" s="413"/>
      <c r="H111" s="413"/>
      <c r="I111" s="413"/>
      <c r="J111" s="95" t="s">
        <v>27</v>
      </c>
      <c r="K111" s="413" t="str">
        <f>IF('[1]p28'!$A$89&lt;&gt;0,'[1]p28'!$A$89,"")</f>
        <v>Projeto Específico</v>
      </c>
      <c r="L111" s="413"/>
      <c r="M111" s="413"/>
      <c r="N111" s="413"/>
      <c r="O111" s="413"/>
      <c r="P111" s="413"/>
      <c r="Q111" s="64"/>
    </row>
    <row r="112" spans="1:17" ht="12.75">
      <c r="A112" s="461"/>
      <c r="B112" s="461"/>
      <c r="C112" s="461"/>
      <c r="D112" s="461"/>
      <c r="E112" s="461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64"/>
    </row>
    <row r="113" spans="1:19" s="9" customFormat="1" ht="12.75">
      <c r="A113" s="382" t="str">
        <f>T('[1]p29'!$C$13:$G$13)</f>
        <v>Miriam Costa</v>
      </c>
      <c r="B113" s="381"/>
      <c r="C113" s="381"/>
      <c r="D113" s="381"/>
      <c r="E113" s="384"/>
      <c r="F113" s="464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64"/>
      <c r="R113" s="23"/>
      <c r="S113" s="23"/>
    </row>
    <row r="114" spans="1:17" s="1" customFormat="1" ht="13.5" customHeight="1">
      <c r="A114" s="25" t="s">
        <v>72</v>
      </c>
      <c r="B114" s="443" t="str">
        <f>IF('[1]p29'!$A$78&lt;&gt;0,'[1]p29'!$A$78,"")</f>
        <v>Diego Paes de A. Pena</v>
      </c>
      <c r="C114" s="443"/>
      <c r="D114" s="443"/>
      <c r="E114" s="443"/>
      <c r="F114" s="444"/>
      <c r="G114" s="26" t="s">
        <v>73</v>
      </c>
      <c r="H114" s="91">
        <f>IF('[1]p29'!$G$82&lt;&gt;0,'[1]p29'!$G$82,"")</f>
        <v>39560</v>
      </c>
      <c r="I114" s="26" t="s">
        <v>74</v>
      </c>
      <c r="J114" s="91">
        <f>IF('[1]p29'!$H$82&lt;&gt;0,'[1]p29'!$H$82,"")</f>
        <v>39682</v>
      </c>
      <c r="K114" s="26" t="s">
        <v>78</v>
      </c>
      <c r="L114" s="471">
        <f>IF('[1]p29'!$J$80&lt;&gt;0,'[1]p29'!$J$80,"")</f>
      </c>
      <c r="M114" s="471"/>
      <c r="N114" s="113" t="s">
        <v>26</v>
      </c>
      <c r="O114" s="471">
        <f>IF('[1]p29'!$L$80&lt;&gt;0,'[1]p29'!$L$80,"")</f>
      </c>
      <c r="P114" s="472"/>
      <c r="Q114" s="64"/>
    </row>
    <row r="115" spans="1:17" s="1" customFormat="1" ht="13.5" customHeight="1">
      <c r="A115" s="25" t="s">
        <v>75</v>
      </c>
      <c r="B115" s="413" t="str">
        <f>IF('[1]p29'!$A$80&lt;&gt;0,'[1]p29'!$A$80,"")</f>
        <v>Projeto de Monitoria da UAME</v>
      </c>
      <c r="C115" s="413"/>
      <c r="D115" s="413"/>
      <c r="E115" s="413"/>
      <c r="F115" s="413"/>
      <c r="G115" s="413"/>
      <c r="H115" s="413"/>
      <c r="I115" s="413"/>
      <c r="J115" s="95" t="s">
        <v>27</v>
      </c>
      <c r="K115" s="413" t="str">
        <f>IF('[1]p29'!$A$82&lt;&gt;0,'[1]p29'!$A$82,"")</f>
        <v>Monitoria</v>
      </c>
      <c r="L115" s="413"/>
      <c r="M115" s="413"/>
      <c r="N115" s="413"/>
      <c r="O115" s="413"/>
      <c r="P115" s="413"/>
      <c r="Q115" s="64"/>
    </row>
    <row r="116" spans="1:17" ht="12.75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64"/>
    </row>
    <row r="117" spans="1:17" s="1" customFormat="1" ht="13.5" customHeight="1">
      <c r="A117" s="25" t="s">
        <v>72</v>
      </c>
      <c r="B117" s="443" t="str">
        <f>IF('[1]p29'!$A$85&lt;&gt;0,'[1]p29'!$A$85,"")</f>
        <v>Carolyn Turnell</v>
      </c>
      <c r="C117" s="443"/>
      <c r="D117" s="443"/>
      <c r="E117" s="443"/>
      <c r="F117" s="444"/>
      <c r="G117" s="26" t="s">
        <v>73</v>
      </c>
      <c r="H117" s="91">
        <f>IF('[1]p29'!$G$89&lt;&gt;0,'[1]p29'!$G$89,"")</f>
        <v>39560</v>
      </c>
      <c r="I117" s="26" t="s">
        <v>74</v>
      </c>
      <c r="J117" s="91">
        <f>IF('[1]p29'!$H$89&lt;&gt;0,'[1]p29'!$H$89,"")</f>
        <v>39682</v>
      </c>
      <c r="K117" s="26" t="s">
        <v>78</v>
      </c>
      <c r="L117" s="471">
        <f>IF('[1]p29'!$J$87&lt;&gt;0,'[1]p29'!$J$87,"")</f>
      </c>
      <c r="M117" s="471"/>
      <c r="N117" s="113" t="s">
        <v>26</v>
      </c>
      <c r="O117" s="471">
        <f>IF('[1]p29'!$L$87&lt;&gt;0,'[1]p29'!$L$87,"")</f>
      </c>
      <c r="P117" s="472"/>
      <c r="Q117" s="64"/>
    </row>
    <row r="118" spans="1:17" s="1" customFormat="1" ht="13.5" customHeight="1">
      <c r="A118" s="25" t="s">
        <v>75</v>
      </c>
      <c r="B118" s="413" t="str">
        <f>IF('[1]p29'!$A$87&lt;&gt;0,'[1]p29'!$A$87,"")</f>
        <v>Projeto de Monitoria da UAME</v>
      </c>
      <c r="C118" s="413"/>
      <c r="D118" s="413"/>
      <c r="E118" s="413"/>
      <c r="F118" s="413"/>
      <c r="G118" s="413"/>
      <c r="H118" s="413"/>
      <c r="I118" s="413"/>
      <c r="J118" s="95" t="s">
        <v>27</v>
      </c>
      <c r="K118" s="413" t="str">
        <f>IF('[1]p29'!$A$89&lt;&gt;0,'[1]p29'!$A$89,"")</f>
        <v>Monitoria</v>
      </c>
      <c r="L118" s="413"/>
      <c r="M118" s="413"/>
      <c r="N118" s="413"/>
      <c r="O118" s="413"/>
      <c r="P118" s="413"/>
      <c r="Q118" s="64"/>
    </row>
    <row r="119" spans="1:17" ht="12.75">
      <c r="A119" s="461"/>
      <c r="B119" s="461"/>
      <c r="C119" s="461"/>
      <c r="D119" s="461"/>
      <c r="E119" s="461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64"/>
    </row>
    <row r="120" spans="1:19" s="9" customFormat="1" ht="12.75">
      <c r="A120" s="382" t="str">
        <f>T('[1]p30'!$C$13:$G$13)</f>
        <v>Patrícia Batista Leal</v>
      </c>
      <c r="B120" s="381"/>
      <c r="C120" s="381"/>
      <c r="D120" s="381"/>
      <c r="E120" s="384"/>
      <c r="F120" s="464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64"/>
      <c r="R120" s="23"/>
      <c r="S120" s="23"/>
    </row>
    <row r="121" spans="1:17" s="1" customFormat="1" ht="13.5" customHeight="1">
      <c r="A121" s="25" t="s">
        <v>72</v>
      </c>
      <c r="B121" s="443" t="str">
        <f>IF('[1]p30'!$A$78&lt;&gt;0,'[1]p30'!$A$78,"")</f>
        <v>Débora Karollyne Xavier Silva</v>
      </c>
      <c r="C121" s="443"/>
      <c r="D121" s="443"/>
      <c r="E121" s="443"/>
      <c r="F121" s="444"/>
      <c r="G121" s="26" t="s">
        <v>73</v>
      </c>
      <c r="H121" s="91">
        <f>IF('[1]p30'!$G$82&lt;&gt;0,'[1]p30'!$G$82,"")</f>
        <v>39560</v>
      </c>
      <c r="I121" s="26" t="s">
        <v>74</v>
      </c>
      <c r="J121" s="91">
        <f>IF('[1]p30'!$H$82&lt;&gt;0,'[1]p30'!$H$82,"")</f>
      </c>
      <c r="K121" s="26" t="s">
        <v>78</v>
      </c>
      <c r="L121" s="471">
        <f>IF('[1]p30'!$J$80&lt;&gt;0,'[1]p30'!$J$80,"")</f>
      </c>
      <c r="M121" s="471"/>
      <c r="N121" s="113" t="s">
        <v>26</v>
      </c>
      <c r="O121" s="471">
        <f>IF('[1]p30'!$L$80&lt;&gt;0,'[1]p30'!$L$80,"")</f>
      </c>
      <c r="P121" s="472"/>
      <c r="Q121" s="64"/>
    </row>
    <row r="122" spans="1:17" ht="12.75">
      <c r="A122" s="461"/>
      <c r="B122" s="461"/>
      <c r="C122" s="461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64"/>
    </row>
    <row r="123" spans="1:19" s="9" customFormat="1" ht="12.75">
      <c r="A123" s="382" t="str">
        <f>T('[1]p31'!$C$13:$G$13)</f>
        <v>Rosana Marques da Silva</v>
      </c>
      <c r="B123" s="381"/>
      <c r="C123" s="381"/>
      <c r="D123" s="381"/>
      <c r="E123" s="384"/>
      <c r="F123" s="464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64"/>
      <c r="R123" s="23"/>
      <c r="S123" s="23"/>
    </row>
    <row r="124" spans="1:17" s="1" customFormat="1" ht="13.5" customHeight="1">
      <c r="A124" s="25" t="s">
        <v>72</v>
      </c>
      <c r="B124" s="443" t="str">
        <f>IF('[1]p31'!$A$78&lt;&gt;0,'[1]p31'!$A$78,"")</f>
        <v>Allan Ramon Morais</v>
      </c>
      <c r="C124" s="443"/>
      <c r="D124" s="443"/>
      <c r="E124" s="443"/>
      <c r="F124" s="444"/>
      <c r="G124" s="26" t="s">
        <v>73</v>
      </c>
      <c r="H124" s="91">
        <f>IF('[1]p31'!$G$82&lt;&gt;0,'[1]p31'!$G$82,"")</f>
        <v>39569</v>
      </c>
      <c r="I124" s="26" t="s">
        <v>74</v>
      </c>
      <c r="J124" s="91" t="str">
        <f>IF('[1]p31'!$H$82&lt;&gt;0,'[1]p31'!$H$82,"")</f>
        <v>29/02/09</v>
      </c>
      <c r="K124" s="26" t="s">
        <v>78</v>
      </c>
      <c r="L124" s="471" t="str">
        <f>IF('[1]p31'!$J$80&lt;&gt;0,'[1]p31'!$J$80,"")</f>
        <v>UFCG</v>
      </c>
      <c r="M124" s="471"/>
      <c r="N124" s="113" t="s">
        <v>26</v>
      </c>
      <c r="O124" s="471" t="str">
        <f>IF('[1]p31'!$L$80&lt;&gt;0,'[1]p31'!$L$80,"")</f>
        <v>Em andamento</v>
      </c>
      <c r="P124" s="472"/>
      <c r="Q124" s="64"/>
    </row>
    <row r="125" spans="1:17" s="1" customFormat="1" ht="13.5" customHeight="1">
      <c r="A125" s="25" t="s">
        <v>75</v>
      </c>
      <c r="B125" s="413" t="str">
        <f>IF('[1]p31'!$A$80&lt;&gt;0,'[1]p31'!$A$80,"")</f>
        <v>O uso do computador ensino de matemática</v>
      </c>
      <c r="C125" s="413"/>
      <c r="D125" s="413"/>
      <c r="E125" s="413"/>
      <c r="F125" s="413"/>
      <c r="G125" s="413"/>
      <c r="H125" s="413"/>
      <c r="I125" s="413"/>
      <c r="J125" s="95" t="s">
        <v>27</v>
      </c>
      <c r="K125" s="413" t="str">
        <f>IF('[1]p31'!$A$82&lt;&gt;0,'[1]p31'!$A$82,"")</f>
        <v>PROLICEN</v>
      </c>
      <c r="L125" s="413"/>
      <c r="M125" s="413"/>
      <c r="N125" s="413"/>
      <c r="O125" s="413"/>
      <c r="P125" s="413"/>
      <c r="Q125" s="64"/>
    </row>
    <row r="126" spans="1:17" ht="12.75">
      <c r="A126" s="461"/>
      <c r="B126" s="461"/>
      <c r="C126" s="461"/>
      <c r="D126" s="461"/>
      <c r="E126" s="461"/>
      <c r="F126" s="461"/>
      <c r="G126" s="461"/>
      <c r="H126" s="461"/>
      <c r="I126" s="461"/>
      <c r="J126" s="461"/>
      <c r="K126" s="461"/>
      <c r="L126" s="461"/>
      <c r="M126" s="461"/>
      <c r="N126" s="461"/>
      <c r="O126" s="461"/>
      <c r="P126" s="461"/>
      <c r="Q126" s="64"/>
    </row>
    <row r="127" spans="1:17" s="1" customFormat="1" ht="13.5" customHeight="1">
      <c r="A127" s="25" t="s">
        <v>72</v>
      </c>
      <c r="B127" s="443" t="str">
        <f>IF('[1]p31'!$A$85&lt;&gt;0,'[1]p31'!$A$85,"")</f>
        <v> Bruno Sérgio Vasconcelos de Araújo</v>
      </c>
      <c r="C127" s="443"/>
      <c r="D127" s="443"/>
      <c r="E127" s="443"/>
      <c r="F127" s="444"/>
      <c r="G127" s="26" t="s">
        <v>73</v>
      </c>
      <c r="H127" s="91">
        <f>IF('[1]p31'!$G$89&lt;&gt;0,'[1]p31'!$G$89,"")</f>
        <v>39569</v>
      </c>
      <c r="I127" s="26" t="s">
        <v>74</v>
      </c>
      <c r="J127" s="91">
        <f>IF('[1]p31'!$H$89&lt;&gt;0,'[1]p31'!$H$89,"")</f>
        <v>40298</v>
      </c>
      <c r="K127" s="26" t="s">
        <v>78</v>
      </c>
      <c r="L127" s="471" t="str">
        <f>IF('[1]p31'!$J$87&lt;&gt;0,'[1]p31'!$J$87,"")</f>
        <v>CNPq</v>
      </c>
      <c r="M127" s="471"/>
      <c r="N127" s="113" t="s">
        <v>26</v>
      </c>
      <c r="O127" s="471" t="str">
        <f>IF('[1]p31'!$L$87&lt;&gt;0,'[1]p31'!$L$87,"")</f>
        <v>Em andamento</v>
      </c>
      <c r="P127" s="472"/>
      <c r="Q127" s="64"/>
    </row>
    <row r="128" spans="1:17" s="1" customFormat="1" ht="13.5" customHeight="1">
      <c r="A128" s="25" t="s">
        <v>75</v>
      </c>
      <c r="B128" s="413" t="str">
        <f>IF('[1]p31'!$A$87&lt;&gt;0,'[1]p31'!$A$87,"")</f>
        <v>Modelagem Numérica de Bacias Sedimentares</v>
      </c>
      <c r="C128" s="413"/>
      <c r="D128" s="413"/>
      <c r="E128" s="413"/>
      <c r="F128" s="413"/>
      <c r="G128" s="413"/>
      <c r="H128" s="413"/>
      <c r="I128" s="413"/>
      <c r="J128" s="95" t="s">
        <v>27</v>
      </c>
      <c r="K128" s="413" t="str">
        <f>IF('[1]p31'!$A$89&lt;&gt;0,'[1]p31'!$A$89,"")</f>
        <v>Programa de Recursos Humanos da ANP-PRH25</v>
      </c>
      <c r="L128" s="413"/>
      <c r="M128" s="413"/>
      <c r="N128" s="413"/>
      <c r="O128" s="413"/>
      <c r="P128" s="413"/>
      <c r="Q128" s="64"/>
    </row>
    <row r="129" spans="1:17" ht="12.75">
      <c r="A129" s="461"/>
      <c r="B129" s="461"/>
      <c r="C129" s="461"/>
      <c r="D129" s="461"/>
      <c r="E129" s="461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64"/>
    </row>
    <row r="130" spans="1:19" s="9" customFormat="1" ht="12.75">
      <c r="A130" s="382" t="str">
        <f>T('[1]p33'!$C$13:$G$13)</f>
        <v>Sérgio Mota Alves</v>
      </c>
      <c r="B130" s="381"/>
      <c r="C130" s="381"/>
      <c r="D130" s="381"/>
      <c r="E130" s="384"/>
      <c r="F130" s="464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64"/>
      <c r="R130" s="23"/>
      <c r="S130" s="23"/>
    </row>
    <row r="131" spans="1:17" s="1" customFormat="1" ht="13.5" customHeight="1">
      <c r="A131" s="25" t="s">
        <v>72</v>
      </c>
      <c r="B131" s="443" t="str">
        <f>IF('[1]p33'!$A$78&lt;&gt;0,'[1]p33'!$A$78,"")</f>
        <v>Julio Cezar</v>
      </c>
      <c r="C131" s="443"/>
      <c r="D131" s="443"/>
      <c r="E131" s="443"/>
      <c r="F131" s="444"/>
      <c r="G131" s="26" t="s">
        <v>73</v>
      </c>
      <c r="H131" s="91">
        <f>IF('[1]p33'!$G$82&lt;&gt;0,'[1]p33'!$G$82,"")</f>
        <v>39264</v>
      </c>
      <c r="I131" s="26" t="s">
        <v>74</v>
      </c>
      <c r="J131" s="91">
        <f>IF('[1]p33'!$H$82&lt;&gt;0,'[1]p33'!$H$82,"")</f>
      </c>
      <c r="K131" s="26" t="s">
        <v>78</v>
      </c>
      <c r="L131" s="471" t="str">
        <f>IF('[1]p33'!$J$80&lt;&gt;0,'[1]p33'!$J$80,"")</f>
        <v>CNPq</v>
      </c>
      <c r="M131" s="471"/>
      <c r="N131" s="113" t="s">
        <v>26</v>
      </c>
      <c r="O131" s="471" t="str">
        <f>IF('[1]p33'!$L$80&lt;&gt;0,'[1]p33'!$L$80,"")</f>
        <v>Em andamento</v>
      </c>
      <c r="P131" s="472"/>
      <c r="Q131" s="64"/>
    </row>
    <row r="132" spans="1:17" s="1" customFormat="1" ht="13.5" customHeight="1">
      <c r="A132" s="25" t="s">
        <v>75</v>
      </c>
      <c r="B132" s="413" t="str">
        <f>IF('[1]p33'!$A$80&lt;&gt;0,'[1]p33'!$A$80,"")</f>
        <v>Introdução a Álgebra</v>
      </c>
      <c r="C132" s="413"/>
      <c r="D132" s="413"/>
      <c r="E132" s="413"/>
      <c r="F132" s="413"/>
      <c r="G132" s="413"/>
      <c r="H132" s="413"/>
      <c r="I132" s="413"/>
      <c r="J132" s="95" t="s">
        <v>27</v>
      </c>
      <c r="K132" s="413" t="str">
        <f>IF('[1]p33'!$A$82&lt;&gt;0,'[1]p33'!$A$82,"")</f>
        <v>PIBIC</v>
      </c>
      <c r="L132" s="413"/>
      <c r="M132" s="413"/>
      <c r="N132" s="413"/>
      <c r="O132" s="413"/>
      <c r="P132" s="413"/>
      <c r="Q132" s="64"/>
    </row>
    <row r="133" spans="1:17" ht="12.75">
      <c r="A133" s="461"/>
      <c r="B133" s="461"/>
      <c r="C133" s="461"/>
      <c r="D133" s="461"/>
      <c r="E133" s="461"/>
      <c r="F133" s="46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64"/>
    </row>
    <row r="134" spans="1:19" s="9" customFormat="1" ht="12.75">
      <c r="A134" s="382" t="str">
        <f>T('[1]p34'!$C$13:$G$13)</f>
        <v>Vandik Estevam Barbosa</v>
      </c>
      <c r="B134" s="381"/>
      <c r="C134" s="381"/>
      <c r="D134" s="381"/>
      <c r="E134" s="384"/>
      <c r="F134" s="464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64"/>
      <c r="R134" s="23"/>
      <c r="S134" s="23"/>
    </row>
    <row r="135" spans="1:17" s="1" customFormat="1" ht="13.5" customHeight="1">
      <c r="A135" s="25" t="s">
        <v>72</v>
      </c>
      <c r="B135" s="443" t="str">
        <f>IF('[1]p34'!$A$78&lt;&gt;0,'[1]p34'!$A$78,"")</f>
        <v>Alysson Vasconcelos Gomes de Menezes</v>
      </c>
      <c r="C135" s="443"/>
      <c r="D135" s="443"/>
      <c r="E135" s="443"/>
      <c r="F135" s="444"/>
      <c r="G135" s="26" t="s">
        <v>73</v>
      </c>
      <c r="H135" s="91">
        <f>IF('[1]p34'!$G$82&lt;&gt;0,'[1]p34'!$G$82,"")</f>
        <v>39560</v>
      </c>
      <c r="I135" s="26" t="s">
        <v>74</v>
      </c>
      <c r="J135" s="91">
        <f>IF('[1]p34'!$H$82&lt;&gt;0,'[1]p34'!$H$82,"")</f>
        <v>39685</v>
      </c>
      <c r="K135" s="26" t="s">
        <v>78</v>
      </c>
      <c r="L135" s="471" t="str">
        <f>IF('[1]p34'!$J$80&lt;&gt;0,'[1]p34'!$J$80,"")</f>
        <v>UFCG</v>
      </c>
      <c r="M135" s="471"/>
      <c r="N135" s="113" t="s">
        <v>26</v>
      </c>
      <c r="O135" s="471" t="str">
        <f>IF('[1]p34'!$L$80&lt;&gt;0,'[1]p34'!$L$80,"")</f>
        <v>Em andamento</v>
      </c>
      <c r="P135" s="472"/>
      <c r="Q135" s="64"/>
    </row>
    <row r="136" spans="1:17" s="1" customFormat="1" ht="13.5" customHeight="1">
      <c r="A136" s="25" t="s">
        <v>75</v>
      </c>
      <c r="B136" s="413" t="str">
        <f>IF('[1]p34'!$A$80&lt;&gt;0,'[1]p34'!$A$80,"")</f>
        <v>Projeto de Monitoria da UAME</v>
      </c>
      <c r="C136" s="413"/>
      <c r="D136" s="413"/>
      <c r="E136" s="413"/>
      <c r="F136" s="413"/>
      <c r="G136" s="413"/>
      <c r="H136" s="413"/>
      <c r="I136" s="413"/>
      <c r="J136" s="95" t="s">
        <v>27</v>
      </c>
      <c r="K136" s="413" t="str">
        <f>IF('[1]p34'!$A$82&lt;&gt;0,'[1]p34'!$A$82,"")</f>
        <v>Monitoria</v>
      </c>
      <c r="L136" s="413"/>
      <c r="M136" s="413"/>
      <c r="N136" s="413"/>
      <c r="O136" s="413"/>
      <c r="P136" s="413"/>
      <c r="Q136" s="64"/>
    </row>
    <row r="137" spans="1:17" ht="12.75">
      <c r="A137" s="465"/>
      <c r="B137" s="465"/>
      <c r="C137" s="465"/>
      <c r="D137" s="465"/>
      <c r="E137" s="465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64"/>
    </row>
    <row r="138" spans="1:19" s="9" customFormat="1" ht="12.75">
      <c r="A138" s="382" t="str">
        <f>T('[1]p35'!$C$13:$G$13)</f>
        <v>Vanio Fragoso de Melo</v>
      </c>
      <c r="B138" s="381"/>
      <c r="C138" s="381"/>
      <c r="D138" s="381"/>
      <c r="E138" s="384"/>
      <c r="F138" s="464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64"/>
      <c r="R138" s="23"/>
      <c r="S138" s="23"/>
    </row>
    <row r="139" spans="1:17" s="1" customFormat="1" ht="13.5" customHeight="1">
      <c r="A139" s="25" t="s">
        <v>72</v>
      </c>
      <c r="B139" s="443" t="str">
        <f>IF('[1]p35'!$A$78&lt;&gt;0,'[1]p35'!$A$78,"")</f>
        <v>Bruno Fontes de Sousa</v>
      </c>
      <c r="C139" s="443"/>
      <c r="D139" s="443"/>
      <c r="E139" s="443"/>
      <c r="F139" s="444"/>
      <c r="G139" s="26" t="s">
        <v>73</v>
      </c>
      <c r="H139" s="91">
        <f>IF('[1]p35'!$G$82&lt;&gt;0,'[1]p35'!$G$82,"")</f>
        <v>39295</v>
      </c>
      <c r="I139" s="26" t="s">
        <v>74</v>
      </c>
      <c r="J139" s="91">
        <f>IF('[1]p35'!$H$82&lt;&gt;0,'[1]p35'!$H$82,"")</f>
        <v>39660</v>
      </c>
      <c r="K139" s="26" t="s">
        <v>78</v>
      </c>
      <c r="L139" s="471" t="str">
        <f>IF('[1]p35'!$J$80&lt;&gt;0,'[1]p35'!$J$80,"")</f>
        <v>CNPq</v>
      </c>
      <c r="M139" s="471"/>
      <c r="N139" s="113" t="s">
        <v>26</v>
      </c>
      <c r="O139" s="471" t="str">
        <f>IF('[1]p35'!$L$80&lt;&gt;0,'[1]p35'!$L$80,"")</f>
        <v>Em andamento</v>
      </c>
      <c r="P139" s="472"/>
      <c r="Q139" s="64"/>
    </row>
    <row r="140" spans="1:17" s="1" customFormat="1" ht="13.5" customHeight="1">
      <c r="A140" s="25" t="s">
        <v>75</v>
      </c>
      <c r="B140" s="413" t="str">
        <f>IF('[1]p35'!$A$80&lt;&gt;0,'[1]p35'!$A$80,"")</f>
        <v>Geometria Diferencial de Superfícies - Áspectos Locais e Globais</v>
      </c>
      <c r="C140" s="413"/>
      <c r="D140" s="413"/>
      <c r="E140" s="413"/>
      <c r="F140" s="413"/>
      <c r="G140" s="413"/>
      <c r="H140" s="413"/>
      <c r="I140" s="413"/>
      <c r="J140" s="95" t="s">
        <v>27</v>
      </c>
      <c r="K140" s="413" t="str">
        <f>IF('[1]p35'!$A$82&lt;&gt;0,'[1]p35'!$A$82,"")</f>
        <v>PIBIC</v>
      </c>
      <c r="L140" s="413"/>
      <c r="M140" s="413"/>
      <c r="N140" s="413"/>
      <c r="O140" s="413"/>
      <c r="P140" s="413"/>
      <c r="Q140" s="64"/>
    </row>
    <row r="141" spans="1:17" ht="12.75">
      <c r="A141" s="461"/>
      <c r="B141" s="46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1"/>
      <c r="N141" s="461"/>
      <c r="O141" s="461"/>
      <c r="P141" s="461"/>
      <c r="Q141" s="64"/>
    </row>
    <row r="142" spans="1:17" s="1" customFormat="1" ht="13.5" customHeight="1">
      <c r="A142" s="25" t="s">
        <v>72</v>
      </c>
      <c r="B142" s="443" t="str">
        <f>IF('[1]p35'!$A$85&lt;&gt;0,'[1]p35'!$A$85,"")</f>
        <v>Karina / Allan</v>
      </c>
      <c r="C142" s="443"/>
      <c r="D142" s="443"/>
      <c r="E142" s="443"/>
      <c r="F142" s="444"/>
      <c r="G142" s="26" t="s">
        <v>73</v>
      </c>
      <c r="H142" s="91">
        <f>IF('[1]p35'!$G$89&lt;&gt;0,'[1]p35'!$G$89,"")</f>
      </c>
      <c r="I142" s="26" t="s">
        <v>74</v>
      </c>
      <c r="J142" s="91">
        <f>IF('[1]p35'!$H$89&lt;&gt;0,'[1]p35'!$H$89,"")</f>
      </c>
      <c r="K142" s="26" t="s">
        <v>78</v>
      </c>
      <c r="L142" s="471" t="str">
        <f>IF('[1]p35'!$J$87&lt;&gt;0,'[1]p35'!$J$87,"")</f>
        <v>UFCG</v>
      </c>
      <c r="M142" s="471"/>
      <c r="N142" s="113" t="s">
        <v>26</v>
      </c>
      <c r="O142" s="471">
        <f>IF('[1]p35'!$L$87&lt;&gt;0,'[1]p35'!$L$87,"")</f>
      </c>
      <c r="P142" s="472"/>
      <c r="Q142" s="64"/>
    </row>
    <row r="143" spans="1:17" s="1" customFormat="1" ht="13.5" customHeight="1">
      <c r="A143" s="25" t="s">
        <v>75</v>
      </c>
      <c r="B143" s="413" t="str">
        <f>IF('[1]p35'!$A$87&lt;&gt;0,'[1]p35'!$A$87,"")</f>
        <v>Uso do Computador no Ensino de Matemática</v>
      </c>
      <c r="C143" s="413"/>
      <c r="D143" s="413"/>
      <c r="E143" s="413"/>
      <c r="F143" s="413"/>
      <c r="G143" s="413"/>
      <c r="H143" s="413"/>
      <c r="I143" s="413"/>
      <c r="J143" s="95" t="s">
        <v>27</v>
      </c>
      <c r="K143" s="413" t="str">
        <f>IF('[1]p35'!$A$89&lt;&gt;0,'[1]p35'!$A$89,"")</f>
        <v>PROLICEN</v>
      </c>
      <c r="L143" s="413"/>
      <c r="M143" s="413"/>
      <c r="N143" s="413"/>
      <c r="O143" s="413"/>
      <c r="P143" s="413"/>
      <c r="Q143" s="64"/>
    </row>
    <row r="144" spans="1:17" ht="12.75">
      <c r="A144" s="461"/>
      <c r="B144" s="461"/>
      <c r="C144" s="461"/>
      <c r="D144" s="461"/>
      <c r="E144" s="461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64"/>
    </row>
    <row r="145" spans="1:19" s="9" customFormat="1" ht="12.75">
      <c r="A145" s="382" t="str">
        <f>T('[1]p37'!$C$13:$G$13)</f>
        <v>Cícero Januário Guimarães </v>
      </c>
      <c r="B145" s="381"/>
      <c r="C145" s="381"/>
      <c r="D145" s="381"/>
      <c r="E145" s="384"/>
      <c r="F145" s="464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64"/>
      <c r="R145" s="23"/>
      <c r="S145" s="23"/>
    </row>
    <row r="146" spans="1:17" s="1" customFormat="1" ht="13.5" customHeight="1">
      <c r="A146" s="25" t="s">
        <v>72</v>
      </c>
      <c r="B146" s="443" t="str">
        <f>IF('[1]p37'!$A$78&lt;&gt;0,'[1]p37'!$A$78,"")</f>
        <v>Izabel Cristhina Gomes Duarte</v>
      </c>
      <c r="C146" s="443"/>
      <c r="D146" s="443"/>
      <c r="E146" s="443"/>
      <c r="F146" s="444"/>
      <c r="G146" s="26" t="s">
        <v>73</v>
      </c>
      <c r="H146" s="91">
        <f>IF('[1]p37'!$G$82&lt;&gt;0,'[1]p37'!$G$82,"")</f>
        <v>39372</v>
      </c>
      <c r="I146" s="26" t="s">
        <v>74</v>
      </c>
      <c r="J146" s="91">
        <f>IF('[1]p37'!$H$82&lt;&gt;0,'[1]p37'!$H$82,"")</f>
        <v>39538</v>
      </c>
      <c r="K146" s="26" t="s">
        <v>78</v>
      </c>
      <c r="L146" s="471">
        <f>IF('[1]p37'!$J$80&lt;&gt;0,'[1]p37'!$J$80,"")</f>
      </c>
      <c r="M146" s="471"/>
      <c r="N146" s="113" t="s">
        <v>26</v>
      </c>
      <c r="O146" s="471">
        <f>IF('[1]p37'!$L$80&lt;&gt;0,'[1]p37'!$L$80,"")</f>
      </c>
      <c r="P146" s="472"/>
      <c r="Q146" s="64"/>
    </row>
    <row r="147" spans="1:17" s="1" customFormat="1" ht="13.5" customHeight="1">
      <c r="A147" s="25" t="s">
        <v>75</v>
      </c>
      <c r="B147" s="413" t="str">
        <f>IF('[1]p37'!$A$80&lt;&gt;0,'[1]p37'!$A$80,"")</f>
        <v>Monitoria( Matemática Aplicada à Adminstração I)</v>
      </c>
      <c r="C147" s="413"/>
      <c r="D147" s="413"/>
      <c r="E147" s="413"/>
      <c r="F147" s="413"/>
      <c r="G147" s="413"/>
      <c r="H147" s="413"/>
      <c r="I147" s="413"/>
      <c r="J147" s="95" t="s">
        <v>27</v>
      </c>
      <c r="K147" s="413" t="str">
        <f>IF('[1]p37'!$A$82&lt;&gt;0,'[1]p37'!$A$82,"")</f>
        <v>Monitoria</v>
      </c>
      <c r="L147" s="413"/>
      <c r="M147" s="413"/>
      <c r="N147" s="413"/>
      <c r="O147" s="413"/>
      <c r="P147" s="413"/>
      <c r="Q147" s="64"/>
    </row>
    <row r="148" spans="1:17" ht="12.75">
      <c r="A148" s="461"/>
      <c r="B148" s="461"/>
      <c r="C148" s="461"/>
      <c r="D148" s="461"/>
      <c r="E148" s="461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64"/>
    </row>
    <row r="149" spans="1:19" s="9" customFormat="1" ht="12.75">
      <c r="A149" s="382" t="str">
        <f>T('[1]p38'!$C$13:$G$13)</f>
        <v>Fernanda Clara de França Silva</v>
      </c>
      <c r="B149" s="381"/>
      <c r="C149" s="381"/>
      <c r="D149" s="381"/>
      <c r="E149" s="384"/>
      <c r="F149" s="464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64"/>
      <c r="R149" s="23"/>
      <c r="S149" s="23"/>
    </row>
    <row r="150" spans="1:17" s="1" customFormat="1" ht="13.5" customHeight="1">
      <c r="A150" s="25" t="s">
        <v>72</v>
      </c>
      <c r="B150" s="443" t="str">
        <f>IF('[1]p38'!$A$78&lt;&gt;0,'[1]p38'!$A$78,"")</f>
        <v>Téssio Rogério Nóbrega Borja de Melo</v>
      </c>
      <c r="C150" s="443"/>
      <c r="D150" s="443"/>
      <c r="E150" s="443"/>
      <c r="F150" s="444"/>
      <c r="G150" s="26" t="s">
        <v>73</v>
      </c>
      <c r="H150" s="91">
        <f>IF('[1]p38'!$G$82&lt;&gt;0,'[1]p38'!$G$82,"")</f>
        <v>39573</v>
      </c>
      <c r="I150" s="26" t="s">
        <v>74</v>
      </c>
      <c r="J150" s="91">
        <f>IF('[1]p38'!$H$82&lt;&gt;0,'[1]p38'!$H$82,"")</f>
      </c>
      <c r="K150" s="26" t="s">
        <v>78</v>
      </c>
      <c r="L150" s="471" t="str">
        <f>IF('[1]p38'!$J$80&lt;&gt;0,'[1]p38'!$J$80,"")</f>
        <v>UFCG</v>
      </c>
      <c r="M150" s="471"/>
      <c r="N150" s="113" t="s">
        <v>26</v>
      </c>
      <c r="O150" s="471" t="str">
        <f>IF('[1]p38'!$L$80&lt;&gt;0,'[1]p38'!$L$80,"")</f>
        <v>Em andamento</v>
      </c>
      <c r="P150" s="472"/>
      <c r="Q150" s="64"/>
    </row>
    <row r="151" spans="1:17" s="1" customFormat="1" ht="13.5" customHeight="1">
      <c r="A151" s="25" t="s">
        <v>75</v>
      </c>
      <c r="B151" s="413" t="str">
        <f>IF('[1]p38'!$A$80&lt;&gt;0,'[1]p38'!$A$80,"")</f>
        <v>Melhoria do Ensino de Graduação na UAME-CCT/UFCG</v>
      </c>
      <c r="C151" s="413"/>
      <c r="D151" s="413"/>
      <c r="E151" s="413"/>
      <c r="F151" s="413"/>
      <c r="G151" s="413"/>
      <c r="H151" s="413"/>
      <c r="I151" s="413"/>
      <c r="J151" s="95" t="s">
        <v>27</v>
      </c>
      <c r="K151" s="413" t="str">
        <f>IF('[1]p38'!$A$82&lt;&gt;0,'[1]p38'!$A$82,"")</f>
        <v>Monitoria</v>
      </c>
      <c r="L151" s="413"/>
      <c r="M151" s="413"/>
      <c r="N151" s="413"/>
      <c r="O151" s="413"/>
      <c r="P151" s="413"/>
      <c r="Q151" s="64"/>
    </row>
    <row r="152" spans="1:17" ht="12.75">
      <c r="A152" s="461"/>
      <c r="B152" s="461"/>
      <c r="C152" s="461"/>
      <c r="D152" s="461"/>
      <c r="E152" s="461"/>
      <c r="F152" s="461"/>
      <c r="G152" s="461"/>
      <c r="H152" s="461"/>
      <c r="I152" s="461"/>
      <c r="J152" s="461"/>
      <c r="K152" s="461"/>
      <c r="L152" s="461"/>
      <c r="M152" s="461"/>
      <c r="N152" s="461"/>
      <c r="O152" s="461"/>
      <c r="P152" s="461"/>
      <c r="Q152" s="64"/>
    </row>
    <row r="153" spans="1:17" s="1" customFormat="1" ht="13.5" customHeight="1">
      <c r="A153" s="25" t="s">
        <v>72</v>
      </c>
      <c r="B153" s="443" t="str">
        <f>IF('[1]p38'!$A$85&lt;&gt;0,'[1]p38'!$A$85,"")</f>
        <v>Antides Victor de Araújo</v>
      </c>
      <c r="C153" s="443"/>
      <c r="D153" s="443"/>
      <c r="E153" s="443"/>
      <c r="F153" s="444"/>
      <c r="G153" s="26" t="s">
        <v>73</v>
      </c>
      <c r="H153" s="91">
        <f>IF('[1]p38'!$G$89&lt;&gt;0,'[1]p38'!$G$89,"")</f>
        <v>39560</v>
      </c>
      <c r="I153" s="26" t="s">
        <v>74</v>
      </c>
      <c r="J153" s="91">
        <f>IF('[1]p38'!$H$89&lt;&gt;0,'[1]p38'!$H$89,"")</f>
      </c>
      <c r="K153" s="26" t="s">
        <v>78</v>
      </c>
      <c r="L153" s="471" t="str">
        <f>IF('[1]p38'!$J$87&lt;&gt;0,'[1]p38'!$J$87,"")</f>
        <v>UFCG</v>
      </c>
      <c r="M153" s="471"/>
      <c r="N153" s="113" t="s">
        <v>26</v>
      </c>
      <c r="O153" s="471" t="str">
        <f>IF('[1]p38'!$L$87&lt;&gt;0,'[1]p38'!$L$87,"")</f>
        <v>Em andamento</v>
      </c>
      <c r="P153" s="472"/>
      <c r="Q153" s="64"/>
    </row>
    <row r="154" spans="1:17" s="1" customFormat="1" ht="13.5" customHeight="1">
      <c r="A154" s="25" t="s">
        <v>75</v>
      </c>
      <c r="B154" s="413" t="str">
        <f>IF('[1]p38'!$A$87&lt;&gt;0,'[1]p38'!$A$87,"")</f>
        <v>A Monitoria e os Novos Desafios da Educação</v>
      </c>
      <c r="C154" s="413"/>
      <c r="D154" s="413"/>
      <c r="E154" s="413"/>
      <c r="F154" s="413"/>
      <c r="G154" s="413"/>
      <c r="H154" s="413"/>
      <c r="I154" s="413"/>
      <c r="J154" s="95" t="s">
        <v>27</v>
      </c>
      <c r="K154" s="413" t="str">
        <f>IF('[1]p38'!$A$89&lt;&gt;0,'[1]p38'!$A$89,"")</f>
        <v>Monitoria</v>
      </c>
      <c r="L154" s="413"/>
      <c r="M154" s="413"/>
      <c r="N154" s="413"/>
      <c r="O154" s="413"/>
      <c r="P154" s="413"/>
      <c r="Q154" s="64"/>
    </row>
    <row r="155" spans="1:17" ht="12.75">
      <c r="A155" s="461"/>
      <c r="B155" s="461"/>
      <c r="C155" s="461"/>
      <c r="D155" s="461"/>
      <c r="E155" s="461"/>
      <c r="F155" s="461"/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64"/>
    </row>
    <row r="156" spans="1:17" s="1" customFormat="1" ht="13.5" customHeight="1">
      <c r="A156" s="25" t="s">
        <v>72</v>
      </c>
      <c r="B156" s="443" t="str">
        <f>IF('[1]p38'!$A$92&lt;&gt;0,'[1]p38'!$A$92,"")</f>
        <v>Álvaro Furtado Coelho Júnior</v>
      </c>
      <c r="C156" s="443"/>
      <c r="D156" s="443"/>
      <c r="E156" s="443"/>
      <c r="F156" s="444"/>
      <c r="G156" s="26" t="s">
        <v>73</v>
      </c>
      <c r="H156" s="91">
        <f>IF('[1]p38'!$G$96&lt;&gt;0,'[1]p38'!$G$96,"")</f>
        <v>39560</v>
      </c>
      <c r="I156" s="26" t="s">
        <v>74</v>
      </c>
      <c r="J156" s="91">
        <f>IF('[1]p38'!$H$96&lt;&gt;0,'[1]p38'!$H$96,"")</f>
      </c>
      <c r="K156" s="26" t="s">
        <v>78</v>
      </c>
      <c r="L156" s="471" t="str">
        <f>IF('[1]p38'!$J$94&lt;&gt;0,'[1]p38'!$J$94,"")</f>
        <v>UFCG</v>
      </c>
      <c r="M156" s="471"/>
      <c r="N156" s="113" t="s">
        <v>26</v>
      </c>
      <c r="O156" s="471" t="str">
        <f>IF('[1]p38'!$L$94&lt;&gt;0,'[1]p38'!$L$94,"")</f>
        <v>Em andamento</v>
      </c>
      <c r="P156" s="472"/>
      <c r="Q156" s="64"/>
    </row>
    <row r="157" spans="1:17" s="1" customFormat="1" ht="13.5" customHeight="1">
      <c r="A157" s="25" t="s">
        <v>75</v>
      </c>
      <c r="B157" s="413" t="str">
        <f>IF('[1]p38'!$A$94&lt;&gt;0,'[1]p38'!$A$94,"")</f>
        <v>A Monitoria e os Novos Desafios da Educação</v>
      </c>
      <c r="C157" s="413"/>
      <c r="D157" s="413"/>
      <c r="E157" s="413"/>
      <c r="F157" s="413"/>
      <c r="G157" s="413"/>
      <c r="H157" s="413"/>
      <c r="I157" s="413"/>
      <c r="J157" s="95" t="s">
        <v>27</v>
      </c>
      <c r="K157" s="413" t="str">
        <f>IF('[1]p38'!$A$96&lt;&gt;0,'[1]p38'!$A$96,"")</f>
        <v>Monitoria</v>
      </c>
      <c r="L157" s="413"/>
      <c r="M157" s="413"/>
      <c r="N157" s="413"/>
      <c r="O157" s="413"/>
      <c r="P157" s="413"/>
      <c r="Q157" s="64"/>
    </row>
    <row r="158" spans="1:17" ht="12.75">
      <c r="A158" s="461"/>
      <c r="B158" s="461"/>
      <c r="C158" s="461"/>
      <c r="D158" s="461"/>
      <c r="E158" s="461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64"/>
    </row>
    <row r="159" spans="1:19" s="9" customFormat="1" ht="12.75">
      <c r="A159" s="382" t="str">
        <f>T('[1]p39'!$C$13:$G$13)</f>
        <v>Grayci Mary Gonçalves Leal</v>
      </c>
      <c r="B159" s="381"/>
      <c r="C159" s="381"/>
      <c r="D159" s="381"/>
      <c r="E159" s="384"/>
      <c r="F159" s="464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  <c r="Q159" s="64"/>
      <c r="R159" s="23"/>
      <c r="S159" s="23"/>
    </row>
    <row r="160" spans="1:17" s="1" customFormat="1" ht="13.5" customHeight="1">
      <c r="A160" s="25" t="s">
        <v>72</v>
      </c>
      <c r="B160" s="443" t="str">
        <f>IF('[1]p39'!$A$78&lt;&gt;0,'[1]p39'!$A$78,"")</f>
        <v>Izabel Cristhina Gomes Duarte</v>
      </c>
      <c r="C160" s="443"/>
      <c r="D160" s="443"/>
      <c r="E160" s="443"/>
      <c r="F160" s="444"/>
      <c r="G160" s="26" t="s">
        <v>73</v>
      </c>
      <c r="H160" s="91">
        <f>IF('[1]p39'!$G$82&lt;&gt;0,'[1]p39'!$G$82,"")</f>
        <v>39372</v>
      </c>
      <c r="I160" s="26" t="s">
        <v>74</v>
      </c>
      <c r="J160" s="91">
        <f>IF('[1]p39'!$H$82&lt;&gt;0,'[1]p39'!$H$82,"")</f>
        <v>39538</v>
      </c>
      <c r="K160" s="26" t="s">
        <v>78</v>
      </c>
      <c r="L160" s="471">
        <f>IF('[1]p39'!$J$80&lt;&gt;0,'[1]p39'!$J$80,"")</f>
      </c>
      <c r="M160" s="471"/>
      <c r="N160" s="113" t="s">
        <v>26</v>
      </c>
      <c r="O160" s="471">
        <f>IF('[1]p39'!$L$80&lt;&gt;0,'[1]p39'!$L$80,"")</f>
      </c>
      <c r="P160" s="472"/>
      <c r="Q160" s="64"/>
    </row>
    <row r="161" spans="1:17" s="1" customFormat="1" ht="13.5" customHeight="1">
      <c r="A161" s="25" t="s">
        <v>75</v>
      </c>
      <c r="B161" s="413" t="str">
        <f>IF('[1]p39'!$A$80&lt;&gt;0,'[1]p39'!$A$80,"")</f>
        <v>Monitoria( Matemática Aplicada à Adminstração I)</v>
      </c>
      <c r="C161" s="413"/>
      <c r="D161" s="413"/>
      <c r="E161" s="413"/>
      <c r="F161" s="413"/>
      <c r="G161" s="413"/>
      <c r="H161" s="413"/>
      <c r="I161" s="413"/>
      <c r="J161" s="95" t="s">
        <v>27</v>
      </c>
      <c r="K161" s="413" t="str">
        <f>IF('[1]p39'!$A$82&lt;&gt;0,'[1]p39'!$A$82,"")</f>
        <v>Monitoria</v>
      </c>
      <c r="L161" s="413"/>
      <c r="M161" s="413"/>
      <c r="N161" s="413"/>
      <c r="O161" s="413"/>
      <c r="P161" s="413"/>
      <c r="Q161" s="64"/>
    </row>
    <row r="162" spans="1:17" ht="12.75">
      <c r="A162" s="461"/>
      <c r="B162" s="461"/>
      <c r="C162" s="461"/>
      <c r="D162" s="461"/>
      <c r="E162" s="461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64"/>
    </row>
    <row r="163" spans="1:19" s="9" customFormat="1" ht="12.75">
      <c r="A163" s="382" t="str">
        <f>T('[1]p42'!$C$13:$G$13)</f>
        <v> Ivaldo Maciel de Brito</v>
      </c>
      <c r="B163" s="381"/>
      <c r="C163" s="381"/>
      <c r="D163" s="381"/>
      <c r="E163" s="384"/>
      <c r="F163" s="464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64"/>
      <c r="R163" s="23"/>
      <c r="S163" s="23"/>
    </row>
    <row r="164" spans="1:17" s="1" customFormat="1" ht="13.5" customHeight="1">
      <c r="A164" s="25" t="s">
        <v>72</v>
      </c>
      <c r="B164" s="443" t="str">
        <f>IF('[1]p42'!$A$78&lt;&gt;0,'[1]p42'!$A$78,"")</f>
        <v>Izabel Cristhina Gomes Duarte</v>
      </c>
      <c r="C164" s="443"/>
      <c r="D164" s="443"/>
      <c r="E164" s="443"/>
      <c r="F164" s="444"/>
      <c r="G164" s="26" t="s">
        <v>73</v>
      </c>
      <c r="H164" s="91">
        <f>IF('[1]p42'!$G$82&lt;&gt;0,'[1]p42'!$G$82,"")</f>
        <v>39372</v>
      </c>
      <c r="I164" s="26" t="s">
        <v>74</v>
      </c>
      <c r="J164" s="91">
        <f>IF('[1]p42'!$H$82&lt;&gt;0,'[1]p42'!$H$82,"")</f>
        <v>39538</v>
      </c>
      <c r="K164" s="26" t="s">
        <v>78</v>
      </c>
      <c r="L164" s="471">
        <f>IF('[1]p42'!$J$80&lt;&gt;0,'[1]p42'!$J$80,"")</f>
      </c>
      <c r="M164" s="471"/>
      <c r="N164" s="113" t="s">
        <v>26</v>
      </c>
      <c r="O164" s="471">
        <f>IF('[1]p42'!$L$80&lt;&gt;0,'[1]p42'!$L$80,"")</f>
      </c>
      <c r="P164" s="472"/>
      <c r="Q164" s="64"/>
    </row>
    <row r="165" spans="1:17" s="1" customFormat="1" ht="13.5" customHeight="1">
      <c r="A165" s="25" t="s">
        <v>75</v>
      </c>
      <c r="B165" s="413" t="str">
        <f>IF('[1]p42'!$A$80&lt;&gt;0,'[1]p42'!$A$80,"")</f>
        <v>Monitoria( Matemática Aplicada à Adminstração I)</v>
      </c>
      <c r="C165" s="413"/>
      <c r="D165" s="413"/>
      <c r="E165" s="413"/>
      <c r="F165" s="413"/>
      <c r="G165" s="413"/>
      <c r="H165" s="413"/>
      <c r="I165" s="413"/>
      <c r="J165" s="95" t="s">
        <v>27</v>
      </c>
      <c r="K165" s="413" t="str">
        <f>IF('[1]p42'!$A$82&lt;&gt;0,'[1]p42'!$A$82,"")</f>
        <v>Monitoria</v>
      </c>
      <c r="L165" s="413"/>
      <c r="M165" s="413"/>
      <c r="N165" s="413"/>
      <c r="O165" s="413"/>
      <c r="P165" s="413"/>
      <c r="Q165" s="64"/>
    </row>
    <row r="166" spans="1:17" ht="12.75">
      <c r="A166" s="461"/>
      <c r="B166" s="461"/>
      <c r="C166" s="461"/>
      <c r="D166" s="461"/>
      <c r="E166" s="461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64"/>
    </row>
    <row r="167" spans="1:19" s="9" customFormat="1" ht="12.75">
      <c r="A167" s="382" t="str">
        <f>T('[1]p43'!$C$13:$G$13)</f>
        <v>José Iraponil Costa Lima</v>
      </c>
      <c r="B167" s="381"/>
      <c r="C167" s="381"/>
      <c r="D167" s="381"/>
      <c r="E167" s="384"/>
      <c r="F167" s="464"/>
      <c r="G167" s="465"/>
      <c r="H167" s="465"/>
      <c r="I167" s="465"/>
      <c r="J167" s="465"/>
      <c r="K167" s="465"/>
      <c r="L167" s="465"/>
      <c r="M167" s="465"/>
      <c r="N167" s="465"/>
      <c r="O167" s="465"/>
      <c r="P167" s="465"/>
      <c r="Q167" s="64"/>
      <c r="R167" s="23"/>
      <c r="S167" s="23"/>
    </row>
    <row r="168" spans="1:17" s="1" customFormat="1" ht="13.5" customHeight="1">
      <c r="A168" s="25" t="s">
        <v>72</v>
      </c>
      <c r="B168" s="443" t="str">
        <f>IF('[1]p43'!$A$78&lt;&gt;0,'[1]p43'!$A$78,"")</f>
        <v>Júlio César Medeiros Diniz</v>
      </c>
      <c r="C168" s="443"/>
      <c r="D168" s="443"/>
      <c r="E168" s="443"/>
      <c r="F168" s="444"/>
      <c r="G168" s="26" t="s">
        <v>73</v>
      </c>
      <c r="H168" s="91">
        <f>IF('[1]p43'!$G$82&lt;&gt;0,'[1]p43'!$G$82,"")</f>
        <v>39370</v>
      </c>
      <c r="I168" s="26" t="s">
        <v>74</v>
      </c>
      <c r="J168" s="91">
        <f>IF('[1]p43'!$H$82&lt;&gt;0,'[1]p43'!$H$82,"")</f>
        <v>39438</v>
      </c>
      <c r="K168" s="26" t="s">
        <v>78</v>
      </c>
      <c r="L168" s="471">
        <f>IF('[1]p43'!$J$80&lt;&gt;0,'[1]p43'!$J$80,"")</f>
      </c>
      <c r="M168" s="471"/>
      <c r="N168" s="113" t="s">
        <v>26</v>
      </c>
      <c r="O168" s="471" t="str">
        <f>IF('[1]p43'!$L$80&lt;&gt;0,'[1]p43'!$L$80,"")</f>
        <v>Concluído</v>
      </c>
      <c r="P168" s="472"/>
      <c r="Q168" s="64"/>
    </row>
    <row r="169" spans="1:17" s="1" customFormat="1" ht="13.5" customHeight="1">
      <c r="A169" s="25" t="s">
        <v>75</v>
      </c>
      <c r="B169" s="413" t="str">
        <f>IF('[1]p43'!$A$80&lt;&gt;0,'[1]p43'!$A$80,"")</f>
        <v>Monitoria de Probabilidade e Estatística</v>
      </c>
      <c r="C169" s="413"/>
      <c r="D169" s="413"/>
      <c r="E169" s="413"/>
      <c r="F169" s="413"/>
      <c r="G169" s="413"/>
      <c r="H169" s="413"/>
      <c r="I169" s="413"/>
      <c r="J169" s="95" t="s">
        <v>27</v>
      </c>
      <c r="K169" s="413" t="str">
        <f>IF('[1]p43'!$A$82&lt;&gt;0,'[1]p43'!$A$82,"")</f>
        <v>Monitoria</v>
      </c>
      <c r="L169" s="413"/>
      <c r="M169" s="413"/>
      <c r="N169" s="413"/>
      <c r="O169" s="413"/>
      <c r="P169" s="413"/>
      <c r="Q169" s="64"/>
    </row>
    <row r="170" spans="1:17" ht="12.75">
      <c r="A170" s="466"/>
      <c r="B170" s="466"/>
      <c r="C170" s="466"/>
      <c r="D170" s="466"/>
      <c r="E170" s="466"/>
      <c r="F170" s="466"/>
      <c r="G170" s="466"/>
      <c r="H170" s="466"/>
      <c r="I170" s="466"/>
      <c r="J170" s="466"/>
      <c r="K170" s="466"/>
      <c r="L170" s="466"/>
      <c r="M170" s="466"/>
      <c r="N170" s="466"/>
      <c r="O170" s="466"/>
      <c r="P170" s="466"/>
      <c r="Q170" s="64"/>
    </row>
    <row r="171" spans="1:19" s="9" customFormat="1" ht="12.75">
      <c r="A171" s="382" t="str">
        <f>T('[1]p44'!$C$13:$G$13)</f>
        <v>José Vieira Alves</v>
      </c>
      <c r="B171" s="381"/>
      <c r="C171" s="381"/>
      <c r="D171" s="381"/>
      <c r="E171" s="384"/>
      <c r="F171" s="464"/>
      <c r="G171" s="465"/>
      <c r="H171" s="465"/>
      <c r="I171" s="465"/>
      <c r="J171" s="465"/>
      <c r="K171" s="465"/>
      <c r="L171" s="465"/>
      <c r="M171" s="465"/>
      <c r="N171" s="465"/>
      <c r="O171" s="465"/>
      <c r="P171" s="465"/>
      <c r="Q171" s="64"/>
      <c r="R171" s="23"/>
      <c r="S171" s="23"/>
    </row>
    <row r="172" spans="1:17" s="1" customFormat="1" ht="13.5" customHeight="1">
      <c r="A172" s="25" t="s">
        <v>72</v>
      </c>
      <c r="B172" s="443" t="str">
        <f>IF('[1]p44'!$A$78&lt;&gt;0,'[1]p44'!$A$78,"")</f>
        <v>Dennis Dantas de Sousa</v>
      </c>
      <c r="C172" s="443"/>
      <c r="D172" s="443"/>
      <c r="E172" s="443"/>
      <c r="F172" s="444"/>
      <c r="G172" s="26" t="s">
        <v>73</v>
      </c>
      <c r="H172" s="91">
        <f>IF('[1]p44'!$G$82&lt;&gt;0,'[1]p44'!$G$82,"")</f>
        <v>39489</v>
      </c>
      <c r="I172" s="26" t="s">
        <v>74</v>
      </c>
      <c r="J172" s="91">
        <f>IF('[1]p44'!$H$82&lt;&gt;0,'[1]p44'!$H$82,"")</f>
        <v>39854</v>
      </c>
      <c r="K172" s="26" t="s">
        <v>78</v>
      </c>
      <c r="L172" s="471" t="str">
        <f>IF('[1]p44'!$J$80&lt;&gt;0,'[1]p44'!$J$80,"")</f>
        <v>CNPq</v>
      </c>
      <c r="M172" s="471"/>
      <c r="N172" s="113" t="s">
        <v>26</v>
      </c>
      <c r="O172" s="471" t="str">
        <f>IF('[1]p44'!$L$80&lt;&gt;0,'[1]p44'!$L$80,"")</f>
        <v>Em andamento</v>
      </c>
      <c r="P172" s="472"/>
      <c r="Q172" s="64"/>
    </row>
    <row r="173" spans="1:17" s="1" customFormat="1" ht="13.5" customHeight="1">
      <c r="A173" s="25" t="s">
        <v>75</v>
      </c>
      <c r="B173" s="413" t="str">
        <f>IF('[1]p44'!$A$80&lt;&gt;0,'[1]p44'!$A$80,"")</f>
        <v>Estágio dos alunos bolsistas revelados pela  OBMEP / 2007</v>
      </c>
      <c r="C173" s="413"/>
      <c r="D173" s="413"/>
      <c r="E173" s="413"/>
      <c r="F173" s="413"/>
      <c r="G173" s="413"/>
      <c r="H173" s="413"/>
      <c r="I173" s="413"/>
      <c r="J173" s="95" t="s">
        <v>27</v>
      </c>
      <c r="K173" s="413">
        <f>IF('[1]p44'!$A$82&lt;&gt;0,'[1]p44'!$A$82,"")</f>
      </c>
      <c r="L173" s="413"/>
      <c r="M173" s="413"/>
      <c r="N173" s="413"/>
      <c r="O173" s="413"/>
      <c r="P173" s="413"/>
      <c r="Q173" s="64"/>
    </row>
    <row r="174" spans="1:17" ht="12.75">
      <c r="A174" s="461"/>
      <c r="B174" s="461"/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64"/>
    </row>
    <row r="175" spans="1:17" s="1" customFormat="1" ht="13.5" customHeight="1">
      <c r="A175" s="25" t="s">
        <v>72</v>
      </c>
      <c r="B175" s="443" t="str">
        <f>IF('[1]p44'!$A$85&lt;&gt;0,'[1]p44'!$A$85,"")</f>
        <v>Renato de Melo Filho</v>
      </c>
      <c r="C175" s="443"/>
      <c r="D175" s="443"/>
      <c r="E175" s="443"/>
      <c r="F175" s="444"/>
      <c r="G175" s="26" t="s">
        <v>73</v>
      </c>
      <c r="H175" s="91">
        <f>IF('[1]p44'!$G$89&lt;&gt;0,'[1]p44'!$G$89,"")</f>
        <v>39489</v>
      </c>
      <c r="I175" s="26" t="s">
        <v>74</v>
      </c>
      <c r="J175" s="91">
        <f>IF('[1]p44'!$H$89&lt;&gt;0,'[1]p44'!$H$89,"")</f>
        <v>39854</v>
      </c>
      <c r="K175" s="26" t="s">
        <v>78</v>
      </c>
      <c r="L175" s="471" t="str">
        <f>IF('[1]p44'!$J$87&lt;&gt;0,'[1]p44'!$J$87,"")</f>
        <v>CNPq</v>
      </c>
      <c r="M175" s="471"/>
      <c r="N175" s="113" t="s">
        <v>26</v>
      </c>
      <c r="O175" s="471" t="str">
        <f>IF('[1]p44'!$L$87&lt;&gt;0,'[1]p44'!$L$87,"")</f>
        <v>Em andamento</v>
      </c>
      <c r="P175" s="472"/>
      <c r="Q175" s="64"/>
    </row>
    <row r="176" spans="1:17" s="1" customFormat="1" ht="13.5" customHeight="1">
      <c r="A176" s="25" t="s">
        <v>75</v>
      </c>
      <c r="B176" s="413" t="str">
        <f>IF('[1]p44'!$A$87&lt;&gt;0,'[1]p44'!$A$87,"")</f>
        <v>Estágio dos alunos bolsistas revelados pela  OBMEP / 2007</v>
      </c>
      <c r="C176" s="413"/>
      <c r="D176" s="413"/>
      <c r="E176" s="413"/>
      <c r="F176" s="413"/>
      <c r="G176" s="413"/>
      <c r="H176" s="413"/>
      <c r="I176" s="413"/>
      <c r="J176" s="95" t="s">
        <v>27</v>
      </c>
      <c r="K176" s="413">
        <f>IF('[1]p44'!$A$89&lt;&gt;0,'[1]p44'!$A$89,"")</f>
      </c>
      <c r="L176" s="413"/>
      <c r="M176" s="413"/>
      <c r="N176" s="413"/>
      <c r="O176" s="413"/>
      <c r="P176" s="413"/>
      <c r="Q176" s="64"/>
    </row>
    <row r="177" spans="1:17" ht="12.75">
      <c r="A177" s="461"/>
      <c r="B177" s="461"/>
      <c r="C177" s="461"/>
      <c r="D177" s="461"/>
      <c r="E177" s="461"/>
      <c r="F177" s="461"/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64"/>
    </row>
    <row r="178" spans="1:17" s="1" customFormat="1" ht="13.5" customHeight="1">
      <c r="A178" s="25" t="s">
        <v>72</v>
      </c>
      <c r="B178" s="443" t="str">
        <f>IF('[1]p44'!$A$92&lt;&gt;0,'[1]p44'!$A$92,"")</f>
        <v>Francimário Souto Medeiros</v>
      </c>
      <c r="C178" s="443"/>
      <c r="D178" s="443"/>
      <c r="E178" s="443"/>
      <c r="F178" s="444"/>
      <c r="G178" s="26" t="s">
        <v>73</v>
      </c>
      <c r="H178" s="91">
        <f>IF('[1]p44'!$G$96&lt;&gt;0,'[1]p44'!$G$96,"")</f>
        <v>39489</v>
      </c>
      <c r="I178" s="26" t="s">
        <v>74</v>
      </c>
      <c r="J178" s="91">
        <f>IF('[1]p44'!$H$96&lt;&gt;0,'[1]p44'!$H$96,"")</f>
        <v>39854</v>
      </c>
      <c r="K178" s="26" t="s">
        <v>78</v>
      </c>
      <c r="L178" s="471" t="str">
        <f>IF('[1]p44'!$J$94&lt;&gt;0,'[1]p44'!$J$94,"")</f>
        <v>CNPq</v>
      </c>
      <c r="M178" s="471"/>
      <c r="N178" s="113" t="s">
        <v>26</v>
      </c>
      <c r="O178" s="471" t="str">
        <f>IF('[1]p44'!$L$94&lt;&gt;0,'[1]p44'!$L$94,"")</f>
        <v>Em andamento</v>
      </c>
      <c r="P178" s="472"/>
      <c r="Q178" s="64"/>
    </row>
    <row r="179" spans="1:17" s="1" customFormat="1" ht="13.5" customHeight="1">
      <c r="A179" s="25" t="s">
        <v>75</v>
      </c>
      <c r="B179" s="413" t="str">
        <f>IF('[1]p44'!$A$94&lt;&gt;0,'[1]p44'!$A$94,"")</f>
        <v>Estágio dos alunos bolsistas revelados pela  OBMEP / 2007</v>
      </c>
      <c r="C179" s="413"/>
      <c r="D179" s="413"/>
      <c r="E179" s="413"/>
      <c r="F179" s="413"/>
      <c r="G179" s="413"/>
      <c r="H179" s="413"/>
      <c r="I179" s="413"/>
      <c r="J179" s="95" t="s">
        <v>27</v>
      </c>
      <c r="K179" s="413">
        <f>IF('[1]p44'!$A$96&lt;&gt;0,'[1]p44'!$A$96,"")</f>
      </c>
      <c r="L179" s="413"/>
      <c r="M179" s="413"/>
      <c r="N179" s="413"/>
      <c r="O179" s="413"/>
      <c r="P179" s="413"/>
      <c r="Q179" s="64"/>
    </row>
    <row r="180" spans="1:17" ht="12.75">
      <c r="A180" s="461"/>
      <c r="B180" s="461"/>
      <c r="C180" s="461"/>
      <c r="D180" s="461"/>
      <c r="E180" s="461"/>
      <c r="F180" s="461"/>
      <c r="G180" s="461"/>
      <c r="H180" s="461"/>
      <c r="I180" s="461"/>
      <c r="J180" s="461"/>
      <c r="K180" s="461"/>
      <c r="L180" s="461"/>
      <c r="M180" s="461"/>
      <c r="N180" s="461"/>
      <c r="O180" s="461"/>
      <c r="P180" s="461"/>
      <c r="Q180" s="64"/>
    </row>
    <row r="181" spans="1:17" s="1" customFormat="1" ht="13.5" customHeight="1">
      <c r="A181" s="25" t="s">
        <v>72</v>
      </c>
      <c r="B181" s="443" t="str">
        <f>IF('[1]p44'!$A$99&lt;&gt;0,'[1]p44'!$A$99,"")</f>
        <v>Camila Paulino Marques</v>
      </c>
      <c r="C181" s="443"/>
      <c r="D181" s="443"/>
      <c r="E181" s="443"/>
      <c r="F181" s="444"/>
      <c r="G181" s="26" t="s">
        <v>73</v>
      </c>
      <c r="H181" s="91">
        <f>IF('[1]p44'!$G$103&lt;&gt;0,'[1]p44'!$G$103,"")</f>
        <v>39489</v>
      </c>
      <c r="I181" s="26" t="s">
        <v>74</v>
      </c>
      <c r="J181" s="91">
        <f>IF('[1]p44'!$H$103&lt;&gt;0,'[1]p44'!$H$103,"")</f>
        <v>39854</v>
      </c>
      <c r="K181" s="26" t="s">
        <v>78</v>
      </c>
      <c r="L181" s="471" t="str">
        <f>IF('[1]p44'!$J$101&lt;&gt;0,'[1]p44'!$J$101,"")</f>
        <v>CNPq</v>
      </c>
      <c r="M181" s="471"/>
      <c r="N181" s="113" t="s">
        <v>26</v>
      </c>
      <c r="O181" s="471" t="str">
        <f>IF('[1]p44'!$L$101&lt;&gt;0,'[1]p44'!$L$101,"")</f>
        <v>Em andamento</v>
      </c>
      <c r="P181" s="472"/>
      <c r="Q181" s="64"/>
    </row>
    <row r="182" spans="1:17" s="1" customFormat="1" ht="13.5" customHeight="1">
      <c r="A182" s="25" t="s">
        <v>75</v>
      </c>
      <c r="B182" s="413" t="str">
        <f>IF('[1]p44'!$A$101&lt;&gt;0,'[1]p44'!$A$101,"")</f>
        <v>Estágio dos alunos bolsistas revelados pela  OBMEP / 2007</v>
      </c>
      <c r="C182" s="413"/>
      <c r="D182" s="413"/>
      <c r="E182" s="413"/>
      <c r="F182" s="413"/>
      <c r="G182" s="413"/>
      <c r="H182" s="413"/>
      <c r="I182" s="413"/>
      <c r="J182" s="95" t="s">
        <v>27</v>
      </c>
      <c r="K182" s="413">
        <f>IF('[1]p44'!$A$103&lt;&gt;0,'[1]p44'!$A$103,"")</f>
      </c>
      <c r="L182" s="413"/>
      <c r="M182" s="413"/>
      <c r="N182" s="413"/>
      <c r="O182" s="413"/>
      <c r="P182" s="413"/>
      <c r="Q182" s="64"/>
    </row>
    <row r="183" spans="1:17" ht="12.75">
      <c r="A183" s="461"/>
      <c r="B183" s="461"/>
      <c r="C183" s="461"/>
      <c r="D183" s="461"/>
      <c r="E183" s="461"/>
      <c r="F183" s="461"/>
      <c r="G183" s="461"/>
      <c r="H183" s="461"/>
      <c r="I183" s="461"/>
      <c r="J183" s="461"/>
      <c r="K183" s="461"/>
      <c r="L183" s="461"/>
      <c r="M183" s="461"/>
      <c r="N183" s="461"/>
      <c r="O183" s="461"/>
      <c r="P183" s="461"/>
      <c r="Q183" s="64"/>
    </row>
    <row r="184" spans="1:17" s="1" customFormat="1" ht="13.5" customHeight="1">
      <c r="A184" s="25" t="s">
        <v>72</v>
      </c>
      <c r="B184" s="443" t="str">
        <f>IF('[1]p47'!$A$78&lt;&gt;0,'[1]p47'!$A$78,"")</f>
        <v>Joyce Araújo B. dos Santos</v>
      </c>
      <c r="C184" s="443"/>
      <c r="D184" s="443"/>
      <c r="E184" s="443"/>
      <c r="F184" s="444"/>
      <c r="G184" s="26" t="s">
        <v>73</v>
      </c>
      <c r="H184" s="91">
        <f>IF('[1]p47'!$G$82&lt;&gt;0,'[1]p47'!$G$82,"")</f>
        <v>39489</v>
      </c>
      <c r="I184" s="26" t="s">
        <v>74</v>
      </c>
      <c r="J184" s="91">
        <f>IF('[1]p47'!$H$82&lt;&gt;0,'[1]p47'!$H$82,"")</f>
        <v>39854</v>
      </c>
      <c r="K184" s="26" t="s">
        <v>78</v>
      </c>
      <c r="L184" s="471" t="str">
        <f>IF('[1]p47'!$J$80&lt;&gt;0,'[1]p47'!$J$80,"")</f>
        <v>CNPq</v>
      </c>
      <c r="M184" s="471"/>
      <c r="N184" s="113" t="s">
        <v>26</v>
      </c>
      <c r="O184" s="471" t="str">
        <f>IF('[1]p47'!$L$80&lt;&gt;0,'[1]p47'!$L$80,"")</f>
        <v>Em andamento</v>
      </c>
      <c r="P184" s="472"/>
      <c r="Q184" s="64"/>
    </row>
    <row r="185" spans="1:17" s="1" customFormat="1" ht="13.5" customHeight="1">
      <c r="A185" s="25" t="s">
        <v>75</v>
      </c>
      <c r="B185" s="413" t="str">
        <f>IF('[1]p47'!$A$80&lt;&gt;0,'[1]p47'!$A$80,"")</f>
        <v>Estágio dos alunos bolsistas revelados pela  OBMEP / 2007</v>
      </c>
      <c r="C185" s="413"/>
      <c r="D185" s="413"/>
      <c r="E185" s="413"/>
      <c r="F185" s="413"/>
      <c r="G185" s="413"/>
      <c r="H185" s="413"/>
      <c r="I185" s="413"/>
      <c r="J185" s="95" t="s">
        <v>27</v>
      </c>
      <c r="K185" s="413">
        <f>IF('[1]p47'!$A$82&lt;&gt;0,'[1]p47'!$A$82,"")</f>
      </c>
      <c r="L185" s="413"/>
      <c r="M185" s="413"/>
      <c r="N185" s="413"/>
      <c r="O185" s="413"/>
      <c r="P185" s="413"/>
      <c r="Q185" s="64"/>
    </row>
    <row r="186" spans="1:17" ht="12.75">
      <c r="A186" s="461"/>
      <c r="B186" s="461"/>
      <c r="C186" s="461"/>
      <c r="D186" s="461"/>
      <c r="E186" s="461"/>
      <c r="F186" s="461"/>
      <c r="G186" s="461"/>
      <c r="H186" s="461"/>
      <c r="I186" s="461"/>
      <c r="J186" s="461"/>
      <c r="K186" s="461"/>
      <c r="L186" s="461"/>
      <c r="M186" s="461"/>
      <c r="N186" s="461"/>
      <c r="O186" s="461"/>
      <c r="P186" s="461"/>
      <c r="Q186" s="64"/>
    </row>
    <row r="187" spans="1:17" s="1" customFormat="1" ht="13.5" customHeight="1">
      <c r="A187" s="25" t="s">
        <v>72</v>
      </c>
      <c r="B187" s="443" t="str">
        <f>IF('[1]p47'!$A$85&lt;&gt;0,'[1]p47'!$A$85,"")</f>
        <v>Wederson Santos Silva</v>
      </c>
      <c r="C187" s="443"/>
      <c r="D187" s="443"/>
      <c r="E187" s="443"/>
      <c r="F187" s="444"/>
      <c r="G187" s="26" t="s">
        <v>73</v>
      </c>
      <c r="H187" s="91">
        <f>IF('[1]p47'!$G$89&lt;&gt;0,'[1]p47'!$G$89,"")</f>
        <v>39489</v>
      </c>
      <c r="I187" s="26" t="s">
        <v>74</v>
      </c>
      <c r="J187" s="91">
        <f>IF('[1]p47'!$H$89&lt;&gt;0,'[1]p47'!$H$89,"")</f>
        <v>39854</v>
      </c>
      <c r="K187" s="26" t="s">
        <v>78</v>
      </c>
      <c r="L187" s="471" t="str">
        <f>IF('[1]p47'!$J$87&lt;&gt;0,'[1]p47'!$J$87,"")</f>
        <v>CNPq</v>
      </c>
      <c r="M187" s="471"/>
      <c r="N187" s="113" t="s">
        <v>26</v>
      </c>
      <c r="O187" s="471" t="str">
        <f>IF('[1]p47'!$L$87&lt;&gt;0,'[1]p47'!$L$87,"")</f>
        <v>Em andamento</v>
      </c>
      <c r="P187" s="472"/>
      <c r="Q187" s="64"/>
    </row>
    <row r="188" spans="1:17" s="1" customFormat="1" ht="13.5" customHeight="1">
      <c r="A188" s="25" t="s">
        <v>75</v>
      </c>
      <c r="B188" s="413" t="str">
        <f>IF('[1]p47'!$A$87&lt;&gt;0,'[1]p47'!$A$87,"")</f>
        <v>Estágio dos alunos bolsistas revelados pela  OBMEP / 2007</v>
      </c>
      <c r="C188" s="413"/>
      <c r="D188" s="413"/>
      <c r="E188" s="413"/>
      <c r="F188" s="413"/>
      <c r="G188" s="413"/>
      <c r="H188" s="413"/>
      <c r="I188" s="413"/>
      <c r="J188" s="95" t="s">
        <v>27</v>
      </c>
      <c r="K188" s="413">
        <f>IF('[1]p47'!$A$89&lt;&gt;0,'[1]p47'!$A$89,"")</f>
      </c>
      <c r="L188" s="413"/>
      <c r="M188" s="413"/>
      <c r="N188" s="413"/>
      <c r="O188" s="413"/>
      <c r="P188" s="413"/>
      <c r="Q188" s="64"/>
    </row>
    <row r="189" spans="1:17" ht="12.75">
      <c r="A189" s="461"/>
      <c r="B189" s="461"/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1"/>
      <c r="P189" s="461"/>
      <c r="Q189" s="64"/>
    </row>
    <row r="190" spans="1:17" s="1" customFormat="1" ht="13.5" customHeight="1">
      <c r="A190" s="25" t="s">
        <v>72</v>
      </c>
      <c r="B190" s="443" t="str">
        <f>IF('[1]p47'!$A$92&lt;&gt;0,'[1]p47'!$A$92,"")</f>
        <v>Jéssyka Marcelino da Cunha</v>
      </c>
      <c r="C190" s="443"/>
      <c r="D190" s="443"/>
      <c r="E190" s="443"/>
      <c r="F190" s="444"/>
      <c r="G190" s="26" t="s">
        <v>73</v>
      </c>
      <c r="H190" s="91">
        <f>IF('[1]p47'!$G$96&lt;&gt;0,'[1]p47'!$G$96,"")</f>
        <v>39489</v>
      </c>
      <c r="I190" s="26" t="s">
        <v>74</v>
      </c>
      <c r="J190" s="91">
        <f>IF('[1]p47'!$H$96&lt;&gt;0,'[1]p47'!$H$96,"")</f>
        <v>39854</v>
      </c>
      <c r="K190" s="26" t="s">
        <v>78</v>
      </c>
      <c r="L190" s="471" t="str">
        <f>IF('[1]p47'!$J$94&lt;&gt;0,'[1]p47'!$J$94,"")</f>
        <v>CNPq</v>
      </c>
      <c r="M190" s="471"/>
      <c r="N190" s="113" t="s">
        <v>26</v>
      </c>
      <c r="O190" s="471" t="str">
        <f>IF('[1]p47'!$L$94&lt;&gt;0,'[1]p47'!$L$94,"")</f>
        <v>Em andamento</v>
      </c>
      <c r="P190" s="472"/>
      <c r="Q190" s="64"/>
    </row>
    <row r="191" spans="1:17" s="1" customFormat="1" ht="13.5" customHeight="1">
      <c r="A191" s="25" t="s">
        <v>75</v>
      </c>
      <c r="B191" s="413" t="str">
        <f>IF('[1]p47'!$A$94&lt;&gt;0,'[1]p47'!$A$94,"")</f>
        <v>Estágio dos alunos bolsistas revelados pela  OBMEP / 2007</v>
      </c>
      <c r="C191" s="413"/>
      <c r="D191" s="413"/>
      <c r="E191" s="413"/>
      <c r="F191" s="413"/>
      <c r="G191" s="413"/>
      <c r="H191" s="413"/>
      <c r="I191" s="413"/>
      <c r="J191" s="95" t="s">
        <v>27</v>
      </c>
      <c r="K191" s="413">
        <f>IF('[1]p47'!$A$96&lt;&gt;0,'[1]p47'!$A$96,"")</f>
      </c>
      <c r="L191" s="413"/>
      <c r="M191" s="413"/>
      <c r="N191" s="413"/>
      <c r="O191" s="413"/>
      <c r="P191" s="413"/>
      <c r="Q191" s="64"/>
    </row>
    <row r="192" spans="1:17" ht="12.75">
      <c r="A192" s="461"/>
      <c r="B192" s="461"/>
      <c r="C192" s="461"/>
      <c r="D192" s="461"/>
      <c r="E192" s="461"/>
      <c r="F192" s="461"/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64"/>
    </row>
    <row r="193" spans="1:17" s="1" customFormat="1" ht="13.5" customHeight="1">
      <c r="A193" s="25" t="s">
        <v>72</v>
      </c>
      <c r="B193" s="443" t="str">
        <f>IF('[1]p47'!$A$99&lt;&gt;0,'[1]p47'!$A$99,"")</f>
        <v>Stefania Januário da Silva</v>
      </c>
      <c r="C193" s="443"/>
      <c r="D193" s="443"/>
      <c r="E193" s="443"/>
      <c r="F193" s="444"/>
      <c r="G193" s="26" t="s">
        <v>73</v>
      </c>
      <c r="H193" s="91">
        <f>IF('[1]p47'!$G$103&lt;&gt;0,'[1]p47'!$G$103,"")</f>
        <v>39489</v>
      </c>
      <c r="I193" s="26" t="s">
        <v>74</v>
      </c>
      <c r="J193" s="91">
        <f>IF('[1]p47'!$H$103&lt;&gt;0,'[1]p47'!$H$103,"")</f>
        <v>39854</v>
      </c>
      <c r="K193" s="26" t="s">
        <v>78</v>
      </c>
      <c r="L193" s="471" t="str">
        <f>IF('[1]p47'!$J$101&lt;&gt;0,'[1]p47'!$J$101,"")</f>
        <v>CNPq</v>
      </c>
      <c r="M193" s="471"/>
      <c r="N193" s="113" t="s">
        <v>26</v>
      </c>
      <c r="O193" s="471" t="str">
        <f>IF('[1]p47'!$L$101&lt;&gt;0,'[1]p47'!$L$101,"")</f>
        <v>Em andamento</v>
      </c>
      <c r="P193" s="472"/>
      <c r="Q193" s="64"/>
    </row>
    <row r="194" spans="1:17" s="1" customFormat="1" ht="13.5" customHeight="1">
      <c r="A194" s="25" t="s">
        <v>75</v>
      </c>
      <c r="B194" s="413" t="str">
        <f>IF('[1]p47'!$A$101&lt;&gt;0,'[1]p47'!$A$101,"")</f>
        <v>Estágio dos alunos bolsistas revelados pela  OBMEP / 2007</v>
      </c>
      <c r="C194" s="413"/>
      <c r="D194" s="413"/>
      <c r="E194" s="413"/>
      <c r="F194" s="413"/>
      <c r="G194" s="413"/>
      <c r="H194" s="413"/>
      <c r="I194" s="413"/>
      <c r="J194" s="95" t="s">
        <v>27</v>
      </c>
      <c r="K194" s="413">
        <f>IF('[1]p47'!$A$103&lt;&gt;0,'[1]p47'!$A$103,"")</f>
      </c>
      <c r="L194" s="413"/>
      <c r="M194" s="413"/>
      <c r="N194" s="413"/>
      <c r="O194" s="413"/>
      <c r="P194" s="413"/>
      <c r="Q194" s="64"/>
    </row>
  </sheetData>
  <sheetProtection password="CEFE" sheet="1" objects="1" scenarios="1"/>
  <mergeCells count="390">
    <mergeCell ref="B194:I194"/>
    <mergeCell ref="K194:P194"/>
    <mergeCell ref="B191:I191"/>
    <mergeCell ref="K191:P191"/>
    <mergeCell ref="A192:P192"/>
    <mergeCell ref="B193:F193"/>
    <mergeCell ref="L193:M193"/>
    <mergeCell ref="O193:P193"/>
    <mergeCell ref="B188:I188"/>
    <mergeCell ref="K188:P188"/>
    <mergeCell ref="A189:P189"/>
    <mergeCell ref="B190:F190"/>
    <mergeCell ref="L190:M190"/>
    <mergeCell ref="O190:P190"/>
    <mergeCell ref="A186:P186"/>
    <mergeCell ref="B187:F187"/>
    <mergeCell ref="L187:M187"/>
    <mergeCell ref="O187:P187"/>
    <mergeCell ref="B184:F184"/>
    <mergeCell ref="L184:M184"/>
    <mergeCell ref="O184:P184"/>
    <mergeCell ref="B185:I185"/>
    <mergeCell ref="K185:P185"/>
    <mergeCell ref="B182:I182"/>
    <mergeCell ref="K182:P182"/>
    <mergeCell ref="B179:I179"/>
    <mergeCell ref="K179:P179"/>
    <mergeCell ref="A180:P180"/>
    <mergeCell ref="B181:F181"/>
    <mergeCell ref="L181:M181"/>
    <mergeCell ref="O181:P181"/>
    <mergeCell ref="B176:I176"/>
    <mergeCell ref="K176:P176"/>
    <mergeCell ref="A177:P177"/>
    <mergeCell ref="B178:F178"/>
    <mergeCell ref="L178:M178"/>
    <mergeCell ref="O178:P178"/>
    <mergeCell ref="A174:P174"/>
    <mergeCell ref="B175:F175"/>
    <mergeCell ref="L175:M175"/>
    <mergeCell ref="O175:P175"/>
    <mergeCell ref="B172:F172"/>
    <mergeCell ref="L172:M172"/>
    <mergeCell ref="O172:P172"/>
    <mergeCell ref="B173:I173"/>
    <mergeCell ref="K173:P173"/>
    <mergeCell ref="A171:E171"/>
    <mergeCell ref="F171:P171"/>
    <mergeCell ref="B168:F168"/>
    <mergeCell ref="L168:M168"/>
    <mergeCell ref="O168:P168"/>
    <mergeCell ref="B169:I169"/>
    <mergeCell ref="K169:P169"/>
    <mergeCell ref="B164:F164"/>
    <mergeCell ref="L164:M164"/>
    <mergeCell ref="O164:P164"/>
    <mergeCell ref="B165:I165"/>
    <mergeCell ref="K165:P165"/>
    <mergeCell ref="A163:E163"/>
    <mergeCell ref="F163:P163"/>
    <mergeCell ref="A183:P183"/>
    <mergeCell ref="B160:F160"/>
    <mergeCell ref="L160:M160"/>
    <mergeCell ref="O160:P160"/>
    <mergeCell ref="B161:I161"/>
    <mergeCell ref="K161:P161"/>
    <mergeCell ref="A167:E167"/>
    <mergeCell ref="F167:P167"/>
    <mergeCell ref="A159:E159"/>
    <mergeCell ref="F159:P159"/>
    <mergeCell ref="B157:I157"/>
    <mergeCell ref="K157:P157"/>
    <mergeCell ref="A158:P158"/>
    <mergeCell ref="B154:I154"/>
    <mergeCell ref="K154:P154"/>
    <mergeCell ref="A155:P155"/>
    <mergeCell ref="B156:F156"/>
    <mergeCell ref="L156:M156"/>
    <mergeCell ref="O156:P156"/>
    <mergeCell ref="A152:P152"/>
    <mergeCell ref="B153:F153"/>
    <mergeCell ref="L153:M153"/>
    <mergeCell ref="O153:P153"/>
    <mergeCell ref="B150:F150"/>
    <mergeCell ref="L150:M150"/>
    <mergeCell ref="O150:P150"/>
    <mergeCell ref="B151:I151"/>
    <mergeCell ref="K151:P151"/>
    <mergeCell ref="A149:E149"/>
    <mergeCell ref="F149:P149"/>
    <mergeCell ref="B146:F146"/>
    <mergeCell ref="L146:M146"/>
    <mergeCell ref="O146:P146"/>
    <mergeCell ref="B147:I147"/>
    <mergeCell ref="K147:P147"/>
    <mergeCell ref="A148:P148"/>
    <mergeCell ref="A145:E145"/>
    <mergeCell ref="F145:P145"/>
    <mergeCell ref="B143:I143"/>
    <mergeCell ref="K143:P143"/>
    <mergeCell ref="A144:P144"/>
    <mergeCell ref="A141:P141"/>
    <mergeCell ref="B142:F142"/>
    <mergeCell ref="L142:M142"/>
    <mergeCell ref="O142:P142"/>
    <mergeCell ref="B139:F139"/>
    <mergeCell ref="L139:M139"/>
    <mergeCell ref="O139:P139"/>
    <mergeCell ref="B140:I140"/>
    <mergeCell ref="K140:P140"/>
    <mergeCell ref="A138:E138"/>
    <mergeCell ref="F138:P138"/>
    <mergeCell ref="B135:F135"/>
    <mergeCell ref="L135:M135"/>
    <mergeCell ref="O135:P135"/>
    <mergeCell ref="B136:I136"/>
    <mergeCell ref="K136:P136"/>
    <mergeCell ref="A137:P137"/>
    <mergeCell ref="A134:E134"/>
    <mergeCell ref="F134:P134"/>
    <mergeCell ref="B131:F131"/>
    <mergeCell ref="L131:M131"/>
    <mergeCell ref="O131:P131"/>
    <mergeCell ref="B132:I132"/>
    <mergeCell ref="K132:P132"/>
    <mergeCell ref="A133:P133"/>
    <mergeCell ref="A130:E130"/>
    <mergeCell ref="F130:P130"/>
    <mergeCell ref="B128:I128"/>
    <mergeCell ref="K128:P128"/>
    <mergeCell ref="A129:P129"/>
    <mergeCell ref="A126:P126"/>
    <mergeCell ref="B127:F127"/>
    <mergeCell ref="L127:M127"/>
    <mergeCell ref="O127:P127"/>
    <mergeCell ref="B124:F124"/>
    <mergeCell ref="L124:M124"/>
    <mergeCell ref="O124:P124"/>
    <mergeCell ref="B125:I125"/>
    <mergeCell ref="K125:P125"/>
    <mergeCell ref="A123:E123"/>
    <mergeCell ref="F123:P123"/>
    <mergeCell ref="B121:F121"/>
    <mergeCell ref="L121:M121"/>
    <mergeCell ref="O121:P121"/>
    <mergeCell ref="A122:P122"/>
    <mergeCell ref="A120:E120"/>
    <mergeCell ref="F120:P120"/>
    <mergeCell ref="B118:I118"/>
    <mergeCell ref="K118:P118"/>
    <mergeCell ref="A119:P119"/>
    <mergeCell ref="A116:P116"/>
    <mergeCell ref="B117:F117"/>
    <mergeCell ref="L117:M117"/>
    <mergeCell ref="O117:P117"/>
    <mergeCell ref="B114:F114"/>
    <mergeCell ref="L114:M114"/>
    <mergeCell ref="O114:P114"/>
    <mergeCell ref="B115:I115"/>
    <mergeCell ref="K115:P115"/>
    <mergeCell ref="A113:E113"/>
    <mergeCell ref="F113:P113"/>
    <mergeCell ref="B111:I111"/>
    <mergeCell ref="K111:P111"/>
    <mergeCell ref="A112:P112"/>
    <mergeCell ref="A109:P109"/>
    <mergeCell ref="B110:F110"/>
    <mergeCell ref="L110:M110"/>
    <mergeCell ref="O110:P110"/>
    <mergeCell ref="B107:F107"/>
    <mergeCell ref="L107:M107"/>
    <mergeCell ref="O107:P107"/>
    <mergeCell ref="B108:I108"/>
    <mergeCell ref="K108:P108"/>
    <mergeCell ref="A106:E106"/>
    <mergeCell ref="F106:P106"/>
    <mergeCell ref="B103:F103"/>
    <mergeCell ref="L103:M103"/>
    <mergeCell ref="O103:P103"/>
    <mergeCell ref="B104:I104"/>
    <mergeCell ref="K104:P104"/>
    <mergeCell ref="A105:P105"/>
    <mergeCell ref="A102:E102"/>
    <mergeCell ref="F102:P102"/>
    <mergeCell ref="B99:F99"/>
    <mergeCell ref="L99:M99"/>
    <mergeCell ref="O99:P99"/>
    <mergeCell ref="B100:I100"/>
    <mergeCell ref="K100:P100"/>
    <mergeCell ref="A101:P101"/>
    <mergeCell ref="A98:E98"/>
    <mergeCell ref="F98:P98"/>
    <mergeCell ref="B96:I96"/>
    <mergeCell ref="K96:P96"/>
    <mergeCell ref="A97:P97"/>
    <mergeCell ref="A94:P94"/>
    <mergeCell ref="B95:F95"/>
    <mergeCell ref="L95:M95"/>
    <mergeCell ref="O95:P95"/>
    <mergeCell ref="B92:F92"/>
    <mergeCell ref="L92:M92"/>
    <mergeCell ref="O92:P92"/>
    <mergeCell ref="B93:I93"/>
    <mergeCell ref="K93:P93"/>
    <mergeCell ref="B89:I89"/>
    <mergeCell ref="K89:P89"/>
    <mergeCell ref="A90:P90"/>
    <mergeCell ref="A91:E91"/>
    <mergeCell ref="F91:P91"/>
    <mergeCell ref="A87:P87"/>
    <mergeCell ref="B88:F88"/>
    <mergeCell ref="L88:M88"/>
    <mergeCell ref="O88:P88"/>
    <mergeCell ref="B86:I86"/>
    <mergeCell ref="K86:P86"/>
    <mergeCell ref="A84:P84"/>
    <mergeCell ref="B85:F85"/>
    <mergeCell ref="L85:M85"/>
    <mergeCell ref="O85:P85"/>
    <mergeCell ref="B82:F82"/>
    <mergeCell ref="L82:M82"/>
    <mergeCell ref="O82:P82"/>
    <mergeCell ref="B83:I83"/>
    <mergeCell ref="K83:P83"/>
    <mergeCell ref="A81:E81"/>
    <mergeCell ref="F81:P81"/>
    <mergeCell ref="B79:I79"/>
    <mergeCell ref="K79:P79"/>
    <mergeCell ref="A80:P80"/>
    <mergeCell ref="B76:I76"/>
    <mergeCell ref="K76:P76"/>
    <mergeCell ref="A77:P77"/>
    <mergeCell ref="B78:F78"/>
    <mergeCell ref="L78:M78"/>
    <mergeCell ref="O78:P78"/>
    <mergeCell ref="A74:P74"/>
    <mergeCell ref="B75:F75"/>
    <mergeCell ref="L75:M75"/>
    <mergeCell ref="O75:P75"/>
    <mergeCell ref="B72:F72"/>
    <mergeCell ref="L72:M72"/>
    <mergeCell ref="O72:P72"/>
    <mergeCell ref="B73:I73"/>
    <mergeCell ref="K73:P73"/>
    <mergeCell ref="B70:I70"/>
    <mergeCell ref="K70:P70"/>
    <mergeCell ref="A71:E71"/>
    <mergeCell ref="F71:P71"/>
    <mergeCell ref="B67:I67"/>
    <mergeCell ref="K67:P67"/>
    <mergeCell ref="A68:P68"/>
    <mergeCell ref="B69:F69"/>
    <mergeCell ref="L69:M69"/>
    <mergeCell ref="O69:P69"/>
    <mergeCell ref="B64:I64"/>
    <mergeCell ref="K64:P64"/>
    <mergeCell ref="A65:P65"/>
    <mergeCell ref="B66:F66"/>
    <mergeCell ref="L66:M66"/>
    <mergeCell ref="O66:P66"/>
    <mergeCell ref="A62:P62"/>
    <mergeCell ref="B63:F63"/>
    <mergeCell ref="L63:M63"/>
    <mergeCell ref="O63:P63"/>
    <mergeCell ref="B60:F60"/>
    <mergeCell ref="L60:M60"/>
    <mergeCell ref="O60:P60"/>
    <mergeCell ref="B61:I61"/>
    <mergeCell ref="K61:P61"/>
    <mergeCell ref="A59:E59"/>
    <mergeCell ref="F59:P59"/>
    <mergeCell ref="B56:F56"/>
    <mergeCell ref="L56:M56"/>
    <mergeCell ref="O56:P56"/>
    <mergeCell ref="B57:I57"/>
    <mergeCell ref="K57:P57"/>
    <mergeCell ref="A58:P58"/>
    <mergeCell ref="A55:E55"/>
    <mergeCell ref="F55:P55"/>
    <mergeCell ref="B52:F52"/>
    <mergeCell ref="L52:M52"/>
    <mergeCell ref="O52:P52"/>
    <mergeCell ref="B53:I53"/>
    <mergeCell ref="K53:P53"/>
    <mergeCell ref="A54:P54"/>
    <mergeCell ref="A51:E51"/>
    <mergeCell ref="F51:P51"/>
    <mergeCell ref="B49:I49"/>
    <mergeCell ref="K49:P49"/>
    <mergeCell ref="A50:P50"/>
    <mergeCell ref="A47:P47"/>
    <mergeCell ref="B48:F48"/>
    <mergeCell ref="L48:M48"/>
    <mergeCell ref="O48:P48"/>
    <mergeCell ref="B45:F45"/>
    <mergeCell ref="L45:M45"/>
    <mergeCell ref="O45:P45"/>
    <mergeCell ref="B46:I46"/>
    <mergeCell ref="K46:P46"/>
    <mergeCell ref="A44:E44"/>
    <mergeCell ref="F44:P44"/>
    <mergeCell ref="B41:F41"/>
    <mergeCell ref="L41:M41"/>
    <mergeCell ref="O41:P41"/>
    <mergeCell ref="B42:I42"/>
    <mergeCell ref="K42:P42"/>
    <mergeCell ref="A43:P43"/>
    <mergeCell ref="A40:E40"/>
    <mergeCell ref="F40:P40"/>
    <mergeCell ref="B37:F37"/>
    <mergeCell ref="L37:M37"/>
    <mergeCell ref="O37:P37"/>
    <mergeCell ref="B38:I38"/>
    <mergeCell ref="K38:P38"/>
    <mergeCell ref="A39:P39"/>
    <mergeCell ref="A36:E36"/>
    <mergeCell ref="F36:P36"/>
    <mergeCell ref="B35:I35"/>
    <mergeCell ref="K35:P35"/>
    <mergeCell ref="A33:P33"/>
    <mergeCell ref="B34:F34"/>
    <mergeCell ref="L34:M34"/>
    <mergeCell ref="O34:P34"/>
    <mergeCell ref="B31:F31"/>
    <mergeCell ref="L31:M31"/>
    <mergeCell ref="O31:P31"/>
    <mergeCell ref="B32:I32"/>
    <mergeCell ref="K32:P32"/>
    <mergeCell ref="B28:I28"/>
    <mergeCell ref="K28:P28"/>
    <mergeCell ref="A29:P29"/>
    <mergeCell ref="A30:E30"/>
    <mergeCell ref="F30:P30"/>
    <mergeCell ref="B25:I25"/>
    <mergeCell ref="K25:P25"/>
    <mergeCell ref="A26:P26"/>
    <mergeCell ref="B27:F27"/>
    <mergeCell ref="L27:M27"/>
    <mergeCell ref="O27:P27"/>
    <mergeCell ref="B22:I22"/>
    <mergeCell ref="K22:P22"/>
    <mergeCell ref="A23:P23"/>
    <mergeCell ref="B24:F24"/>
    <mergeCell ref="L24:M24"/>
    <mergeCell ref="O24:P24"/>
    <mergeCell ref="A20:P20"/>
    <mergeCell ref="B21:F21"/>
    <mergeCell ref="L21:M21"/>
    <mergeCell ref="O21:P21"/>
    <mergeCell ref="B18:F18"/>
    <mergeCell ref="L18:M18"/>
    <mergeCell ref="O18:P18"/>
    <mergeCell ref="B19:I19"/>
    <mergeCell ref="K19:P19"/>
    <mergeCell ref="A17:E17"/>
    <mergeCell ref="F17:P17"/>
    <mergeCell ref="L14:M14"/>
    <mergeCell ref="O14:P14"/>
    <mergeCell ref="B14:F14"/>
    <mergeCell ref="B15:I15"/>
    <mergeCell ref="K15:P15"/>
    <mergeCell ref="A16:P16"/>
    <mergeCell ref="A5:E5"/>
    <mergeCell ref="A9:E9"/>
    <mergeCell ref="F9:P9"/>
    <mergeCell ref="B7:I7"/>
    <mergeCell ref="K7:P7"/>
    <mergeCell ref="L6:M6"/>
    <mergeCell ref="O6:P6"/>
    <mergeCell ref="A8:P8"/>
    <mergeCell ref="E3:L3"/>
    <mergeCell ref="A13:E13"/>
    <mergeCell ref="F13:P13"/>
    <mergeCell ref="B10:F10"/>
    <mergeCell ref="B11:I11"/>
    <mergeCell ref="K11:P11"/>
    <mergeCell ref="L10:M10"/>
    <mergeCell ref="O10:P10"/>
    <mergeCell ref="A12:P12"/>
    <mergeCell ref="B6:F6"/>
    <mergeCell ref="A162:P162"/>
    <mergeCell ref="A166:P166"/>
    <mergeCell ref="A170:P170"/>
    <mergeCell ref="A1:P1"/>
    <mergeCell ref="F5:P5"/>
    <mergeCell ref="A4:P4"/>
    <mergeCell ref="A2:P2"/>
    <mergeCell ref="A3:D3"/>
    <mergeCell ref="O3:P3"/>
    <mergeCell ref="M3:N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104" max="255" man="1"/>
    <brk id="136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0"/>
  <sheetViews>
    <sheetView tabSelected="1" workbookViewId="0" topLeftCell="A1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327" t="s">
        <v>169</v>
      </c>
      <c r="B1" s="328"/>
      <c r="C1" s="328"/>
      <c r="D1" s="328"/>
      <c r="E1" s="328"/>
      <c r="F1" s="328"/>
      <c r="G1" s="328"/>
      <c r="H1" s="328"/>
      <c r="I1" s="329"/>
    </row>
    <row r="2" spans="1:9" ht="12.75">
      <c r="A2" s="330"/>
      <c r="B2" s="331"/>
      <c r="C2" s="331"/>
      <c r="D2" s="331"/>
      <c r="E2" s="331"/>
      <c r="F2" s="331"/>
      <c r="G2" s="331"/>
      <c r="H2" s="331"/>
      <c r="I2" s="332"/>
    </row>
    <row r="3" spans="1:15" ht="12.75">
      <c r="A3" s="348" t="s">
        <v>289</v>
      </c>
      <c r="B3" s="349"/>
      <c r="C3" s="349"/>
      <c r="D3" s="349"/>
      <c r="E3" s="349"/>
      <c r="F3" s="349"/>
      <c r="G3" s="349"/>
      <c r="H3" s="152" t="s">
        <v>79</v>
      </c>
      <c r="I3" s="153" t="str">
        <f>'[1]p1'!$H$4</f>
        <v>2008.1</v>
      </c>
      <c r="O3" s="62"/>
    </row>
    <row r="4" spans="1:19" s="1" customFormat="1" ht="13.5" thickBot="1">
      <c r="A4" s="312"/>
      <c r="B4" s="281"/>
      <c r="C4" s="281"/>
      <c r="D4" s="281"/>
      <c r="E4" s="281"/>
      <c r="F4" s="281"/>
      <c r="G4" s="281"/>
      <c r="H4" s="281"/>
      <c r="I4" s="313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314" t="s">
        <v>154</v>
      </c>
      <c r="B5" s="315"/>
      <c r="C5" s="317" t="str">
        <f>'[1]p1'!$C$5:$F$5</f>
        <v>22/04/2008 a 05/09/2008</v>
      </c>
      <c r="D5" s="317"/>
      <c r="E5" s="318"/>
      <c r="F5" s="321" t="s">
        <v>279</v>
      </c>
      <c r="G5" s="322"/>
      <c r="H5" s="322"/>
      <c r="I5" s="323"/>
      <c r="J5" s="7"/>
      <c r="K5" s="7"/>
      <c r="L5" s="7"/>
    </row>
    <row r="6" spans="1:12" s="1" customFormat="1" ht="13.5" thickBot="1">
      <c r="A6" s="316" t="s">
        <v>155</v>
      </c>
      <c r="B6" s="211"/>
      <c r="C6" s="319" t="str">
        <f>'[1]p1'!$C$6:$F$6</f>
        <v>22/04/2008 a 29/08/2008</v>
      </c>
      <c r="D6" s="319"/>
      <c r="E6" s="320"/>
      <c r="F6" s="324" t="s">
        <v>280</v>
      </c>
      <c r="G6" s="325"/>
      <c r="H6" s="325"/>
      <c r="I6" s="326"/>
      <c r="J6" s="7"/>
      <c r="K6" s="7"/>
      <c r="L6" s="7"/>
    </row>
    <row r="7" spans="1:12" s="1" customFormat="1" ht="13.5" thickBot="1">
      <c r="A7" s="305" t="s">
        <v>156</v>
      </c>
      <c r="B7" s="306"/>
      <c r="C7" s="309">
        <f>IF('[1]p1'!$C$7&lt;&gt;0,'[1]p1'!$C$7,"")</f>
      </c>
      <c r="D7" s="309"/>
      <c r="E7" s="132" t="s">
        <v>264</v>
      </c>
      <c r="F7" s="310">
        <f>IF('[1]p1'!$H$7&lt;&gt;0,'[1]p1'!$H$7,"")</f>
      </c>
      <c r="G7" s="311"/>
      <c r="H7" s="238">
        <f>IF('[1]p1'!$J$7&lt;&gt;0,'[1]p1'!$J$7,"")</f>
      </c>
      <c r="I7" s="311"/>
      <c r="J7"/>
      <c r="K7"/>
      <c r="L7"/>
    </row>
    <row r="8" spans="1:12" s="1" customFormat="1" ht="12.75">
      <c r="A8" s="298" t="s">
        <v>65</v>
      </c>
      <c r="B8" s="264"/>
      <c r="C8" s="264"/>
      <c r="D8" s="133">
        <f>'[1]p1'!$E$8</f>
        <v>21</v>
      </c>
      <c r="E8" s="299"/>
      <c r="F8" s="300"/>
      <c r="G8" s="300"/>
      <c r="H8" s="300"/>
      <c r="I8" s="301"/>
      <c r="J8" s="7"/>
      <c r="K8" s="7"/>
      <c r="L8" s="7"/>
    </row>
    <row r="9" spans="1:12" s="1" customFormat="1" ht="13.5" thickBot="1">
      <c r="A9" s="307" t="s">
        <v>66</v>
      </c>
      <c r="B9" s="308"/>
      <c r="C9" s="308"/>
      <c r="D9" s="134">
        <f>'[1]p1'!$E$9</f>
        <v>20</v>
      </c>
      <c r="E9" s="302"/>
      <c r="F9" s="303"/>
      <c r="G9" s="303"/>
      <c r="H9" s="303"/>
      <c r="I9" s="304"/>
      <c r="J9"/>
      <c r="K9"/>
      <c r="L9"/>
    </row>
    <row r="10" spans="1:9" ht="13.5" thickBot="1">
      <c r="A10" s="296"/>
      <c r="B10" s="296"/>
      <c r="C10" s="296"/>
      <c r="D10" s="296"/>
      <c r="E10" s="296"/>
      <c r="F10" s="296"/>
      <c r="G10" s="296"/>
      <c r="H10" s="296"/>
      <c r="I10" s="296"/>
    </row>
    <row r="11" spans="1:9" ht="13.5" thickBot="1">
      <c r="A11" s="282" t="s">
        <v>95</v>
      </c>
      <c r="B11" s="283"/>
      <c r="C11" s="283"/>
      <c r="D11" s="283"/>
      <c r="E11" s="283"/>
      <c r="F11" s="283"/>
      <c r="G11" s="283"/>
      <c r="H11" s="283"/>
      <c r="I11" s="297"/>
    </row>
    <row r="12" spans="1:9" ht="12.75">
      <c r="A12" s="274" t="s">
        <v>262</v>
      </c>
      <c r="B12" s="275"/>
      <c r="C12" s="275"/>
      <c r="D12" s="275"/>
      <c r="E12" s="160"/>
      <c r="F12" s="274" t="s">
        <v>208</v>
      </c>
      <c r="G12" s="275"/>
      <c r="H12" s="275"/>
      <c r="I12" s="163"/>
    </row>
    <row r="13" spans="1:9" ht="12.75">
      <c r="A13" s="291" t="s">
        <v>213</v>
      </c>
      <c r="B13" s="219"/>
      <c r="C13" s="219"/>
      <c r="D13" s="220"/>
      <c r="E13" s="161">
        <v>1</v>
      </c>
      <c r="F13" s="292" t="s">
        <v>212</v>
      </c>
      <c r="G13" s="273"/>
      <c r="H13" s="273"/>
      <c r="I13" s="164">
        <v>2</v>
      </c>
    </row>
    <row r="14" spans="1:9" ht="12.75">
      <c r="A14" s="291" t="s">
        <v>214</v>
      </c>
      <c r="B14" s="219"/>
      <c r="C14" s="219"/>
      <c r="D14" s="219"/>
      <c r="E14" s="161">
        <v>5</v>
      </c>
      <c r="F14" s="291" t="s">
        <v>96</v>
      </c>
      <c r="G14" s="219"/>
      <c r="H14" s="220"/>
      <c r="I14" s="164">
        <v>4</v>
      </c>
    </row>
    <row r="15" spans="1:9" ht="13.5" thickBot="1">
      <c r="A15" s="293" t="s">
        <v>211</v>
      </c>
      <c r="B15" s="294"/>
      <c r="C15" s="294"/>
      <c r="D15" s="294"/>
      <c r="E15" s="162">
        <f>SUM(E13:E14)</f>
        <v>6</v>
      </c>
      <c r="F15" s="293"/>
      <c r="G15" s="294"/>
      <c r="H15" s="295"/>
      <c r="I15" s="162">
        <f>SUM(I13:I14)</f>
        <v>6</v>
      </c>
    </row>
    <row r="16" spans="1:9" ht="13.5" thickBot="1">
      <c r="A16" s="290"/>
      <c r="B16" s="290"/>
      <c r="C16" s="290"/>
      <c r="D16" s="290"/>
      <c r="E16" s="290"/>
      <c r="F16" s="290"/>
      <c r="G16" s="290"/>
      <c r="H16" s="290"/>
      <c r="I16" s="290"/>
    </row>
    <row r="17" spans="1:9" ht="13.5" thickBot="1">
      <c r="A17" s="237" t="s">
        <v>265</v>
      </c>
      <c r="B17" s="238"/>
      <c r="C17" s="238"/>
      <c r="D17" s="238"/>
      <c r="E17" s="238"/>
      <c r="F17" s="238"/>
      <c r="G17" s="238"/>
      <c r="H17" s="238"/>
      <c r="I17" s="239"/>
    </row>
    <row r="18" spans="1:9" ht="12.75">
      <c r="A18" s="215" t="s">
        <v>97</v>
      </c>
      <c r="B18" s="216"/>
      <c r="C18" s="216"/>
      <c r="D18" s="216"/>
      <c r="E18" s="216"/>
      <c r="F18" s="216"/>
      <c r="G18" s="216"/>
      <c r="H18" s="217"/>
      <c r="I18" s="85">
        <v>0</v>
      </c>
    </row>
    <row r="19" spans="1:9" ht="12.75">
      <c r="A19" s="218" t="s">
        <v>98</v>
      </c>
      <c r="B19" s="219"/>
      <c r="C19" s="219"/>
      <c r="D19" s="219"/>
      <c r="E19" s="219"/>
      <c r="F19" s="219"/>
      <c r="G19" s="219"/>
      <c r="H19" s="220"/>
      <c r="I19" s="85">
        <v>0</v>
      </c>
    </row>
    <row r="20" spans="1:9" ht="12.75">
      <c r="A20" s="218" t="s">
        <v>209</v>
      </c>
      <c r="B20" s="219"/>
      <c r="C20" s="219"/>
      <c r="D20" s="219"/>
      <c r="E20" s="219"/>
      <c r="F20" s="219"/>
      <c r="G20" s="219"/>
      <c r="H20" s="220"/>
      <c r="I20" s="85">
        <v>0</v>
      </c>
    </row>
    <row r="21" spans="1:9" ht="12.75">
      <c r="A21" s="218" t="s">
        <v>210</v>
      </c>
      <c r="B21" s="219"/>
      <c r="C21" s="219"/>
      <c r="D21" s="219"/>
      <c r="E21" s="219"/>
      <c r="F21" s="219"/>
      <c r="G21" s="219"/>
      <c r="H21" s="220"/>
      <c r="I21" s="86">
        <v>0</v>
      </c>
    </row>
    <row r="22" spans="1:9" ht="13.5" thickBot="1">
      <c r="A22" s="357" t="s">
        <v>18</v>
      </c>
      <c r="B22" s="294"/>
      <c r="C22" s="294"/>
      <c r="D22" s="294"/>
      <c r="E22" s="294"/>
      <c r="F22" s="294"/>
      <c r="G22" s="294"/>
      <c r="H22" s="295"/>
      <c r="I22" s="69">
        <f>SUM(I18:I21)</f>
        <v>0</v>
      </c>
    </row>
    <row r="23" spans="1:9" ht="13.5" thickBot="1">
      <c r="A23" s="281"/>
      <c r="B23" s="281"/>
      <c r="C23" s="281"/>
      <c r="D23" s="281"/>
      <c r="E23" s="281"/>
      <c r="F23" s="281"/>
      <c r="G23" s="281"/>
      <c r="H23" s="281"/>
      <c r="I23" s="281"/>
    </row>
    <row r="24" spans="1:9" ht="13.5" thickBot="1">
      <c r="A24" s="310" t="s">
        <v>99</v>
      </c>
      <c r="B24" s="238"/>
      <c r="C24" s="238"/>
      <c r="D24" s="238"/>
      <c r="E24" s="238"/>
      <c r="F24" s="238"/>
      <c r="G24" s="238"/>
      <c r="H24" s="238"/>
      <c r="I24" s="311"/>
    </row>
    <row r="25" spans="1:9" ht="12.75">
      <c r="A25" s="215" t="s">
        <v>100</v>
      </c>
      <c r="B25" s="216"/>
      <c r="C25" s="216"/>
      <c r="D25" s="216"/>
      <c r="E25" s="216"/>
      <c r="F25" s="216"/>
      <c r="G25" s="216"/>
      <c r="H25" s="217"/>
      <c r="I25" s="85">
        <v>1</v>
      </c>
    </row>
    <row r="26" spans="1:9" ht="12.75">
      <c r="A26" s="218" t="s">
        <v>101</v>
      </c>
      <c r="B26" s="219"/>
      <c r="C26" s="219"/>
      <c r="D26" s="219"/>
      <c r="E26" s="219"/>
      <c r="F26" s="219"/>
      <c r="G26" s="219"/>
      <c r="H26" s="220"/>
      <c r="I26" s="86">
        <v>2</v>
      </c>
    </row>
    <row r="27" spans="1:9" ht="12.75">
      <c r="A27" s="218" t="s">
        <v>102</v>
      </c>
      <c r="B27" s="219"/>
      <c r="C27" s="219"/>
      <c r="D27" s="219"/>
      <c r="E27" s="219"/>
      <c r="F27" s="219"/>
      <c r="G27" s="219"/>
      <c r="H27" s="220"/>
      <c r="I27" s="86">
        <v>0</v>
      </c>
    </row>
    <row r="28" spans="1:9" ht="12.75">
      <c r="A28" s="218" t="s">
        <v>103</v>
      </c>
      <c r="B28" s="219"/>
      <c r="C28" s="219"/>
      <c r="D28" s="219"/>
      <c r="E28" s="219"/>
      <c r="F28" s="219"/>
      <c r="G28" s="219"/>
      <c r="H28" s="220"/>
      <c r="I28" s="86">
        <v>0</v>
      </c>
    </row>
    <row r="29" spans="1:9" ht="12.75">
      <c r="A29" s="218" t="s">
        <v>104</v>
      </c>
      <c r="B29" s="219"/>
      <c r="C29" s="219"/>
      <c r="D29" s="219"/>
      <c r="E29" s="219"/>
      <c r="F29" s="219"/>
      <c r="G29" s="219"/>
      <c r="H29" s="220"/>
      <c r="I29" s="86">
        <v>0</v>
      </c>
    </row>
    <row r="30" spans="1:9" ht="12.75">
      <c r="A30" s="218" t="s">
        <v>105</v>
      </c>
      <c r="B30" s="219"/>
      <c r="C30" s="219"/>
      <c r="D30" s="219"/>
      <c r="E30" s="219"/>
      <c r="F30" s="219"/>
      <c r="G30" s="219"/>
      <c r="H30" s="220"/>
      <c r="I30" s="86">
        <v>0</v>
      </c>
    </row>
    <row r="31" spans="1:9" ht="13.5" thickBot="1">
      <c r="A31" s="357" t="s">
        <v>18</v>
      </c>
      <c r="B31" s="294"/>
      <c r="C31" s="294"/>
      <c r="D31" s="294"/>
      <c r="E31" s="294"/>
      <c r="F31" s="294"/>
      <c r="G31" s="294"/>
      <c r="H31" s="295"/>
      <c r="I31" s="69">
        <f>SUM(I25:I30)</f>
        <v>3</v>
      </c>
    </row>
    <row r="32" spans="1:9" ht="13.5" thickBot="1">
      <c r="A32" s="281"/>
      <c r="B32" s="281"/>
      <c r="C32" s="281"/>
      <c r="D32" s="281"/>
      <c r="E32" s="281"/>
      <c r="F32" s="281"/>
      <c r="G32" s="281"/>
      <c r="H32" s="281"/>
      <c r="I32" s="281"/>
    </row>
    <row r="33" spans="1:9" s="7" customFormat="1" ht="13.5" thickBot="1">
      <c r="A33" s="310" t="s">
        <v>266</v>
      </c>
      <c r="B33" s="238"/>
      <c r="C33" s="238"/>
      <c r="D33" s="238"/>
      <c r="E33" s="238"/>
      <c r="F33" s="238"/>
      <c r="G33" s="238"/>
      <c r="H33" s="311"/>
      <c r="I33" s="128">
        <v>40</v>
      </c>
    </row>
    <row r="34" spans="1:9" s="7" customFormat="1" ht="12.75">
      <c r="A34" s="284"/>
      <c r="B34" s="285"/>
      <c r="C34" s="286"/>
      <c r="D34" s="274" t="s">
        <v>269</v>
      </c>
      <c r="E34" s="275"/>
      <c r="F34" s="275"/>
      <c r="G34" s="275"/>
      <c r="H34" s="135">
        <v>34</v>
      </c>
      <c r="I34" s="136">
        <f>IF(I33&lt;&gt;0,H34/I33,"")</f>
        <v>0.85</v>
      </c>
    </row>
    <row r="35" spans="1:9" s="7" customFormat="1" ht="13.5" thickBot="1">
      <c r="A35" s="287"/>
      <c r="B35" s="288"/>
      <c r="C35" s="289"/>
      <c r="D35" s="276" t="s">
        <v>270</v>
      </c>
      <c r="E35" s="277"/>
      <c r="F35" s="277"/>
      <c r="G35" s="277"/>
      <c r="H35" s="137">
        <v>6</v>
      </c>
      <c r="I35" s="138">
        <f>IF(I33&lt;&gt;0,H35/I33,"")</f>
        <v>0.15</v>
      </c>
    </row>
    <row r="36" spans="1:9" s="7" customFormat="1" ht="13.5" thickBot="1">
      <c r="A36" s="282" t="s">
        <v>263</v>
      </c>
      <c r="B36" s="283"/>
      <c r="C36" s="283"/>
      <c r="D36" s="283"/>
      <c r="E36" s="283"/>
      <c r="F36" s="283"/>
      <c r="G36" s="283"/>
      <c r="H36" s="283"/>
      <c r="I36" s="127">
        <v>36</v>
      </c>
    </row>
    <row r="37" spans="1:9" ht="13.5" thickBot="1">
      <c r="A37" s="281"/>
      <c r="B37" s="281"/>
      <c r="C37" s="281"/>
      <c r="D37" s="281"/>
      <c r="E37" s="281"/>
      <c r="F37" s="281"/>
      <c r="G37" s="281"/>
      <c r="H37" s="281"/>
      <c r="I37" s="281"/>
    </row>
    <row r="38" spans="1:9" ht="13.5" thickBot="1">
      <c r="A38" s="221" t="s">
        <v>268</v>
      </c>
      <c r="B38" s="222"/>
      <c r="C38" s="222"/>
      <c r="D38" s="222"/>
      <c r="E38" s="222"/>
      <c r="F38" s="222"/>
      <c r="G38" s="222"/>
      <c r="H38" s="222"/>
      <c r="I38" s="223"/>
    </row>
    <row r="39" spans="1:9" ht="12.75">
      <c r="A39" s="139" t="s">
        <v>106</v>
      </c>
      <c r="B39" s="140" t="s">
        <v>107</v>
      </c>
      <c r="C39" s="140" t="s">
        <v>108</v>
      </c>
      <c r="D39" s="140" t="s">
        <v>109</v>
      </c>
      <c r="E39" s="140" t="s">
        <v>107</v>
      </c>
      <c r="F39" s="140" t="s">
        <v>108</v>
      </c>
      <c r="G39" s="140" t="s">
        <v>110</v>
      </c>
      <c r="H39" s="140" t="s">
        <v>107</v>
      </c>
      <c r="I39" s="140" t="s">
        <v>108</v>
      </c>
    </row>
    <row r="40" spans="1:9" ht="12.75">
      <c r="A40" s="278"/>
      <c r="B40" s="279"/>
      <c r="C40" s="280"/>
      <c r="D40" s="100" t="s">
        <v>112</v>
      </c>
      <c r="E40" s="101">
        <v>4</v>
      </c>
      <c r="F40" s="129">
        <f>IF(I33&lt;&gt;0,E40/I33,"")</f>
        <v>0.1</v>
      </c>
      <c r="G40" s="278"/>
      <c r="H40" s="279"/>
      <c r="I40" s="280"/>
    </row>
    <row r="41" spans="1:9" ht="12.75">
      <c r="A41" s="100" t="s">
        <v>111</v>
      </c>
      <c r="B41" s="96">
        <v>18</v>
      </c>
      <c r="C41" s="129">
        <f>IF(I33&lt;&gt;0,B41/I33,"")</f>
        <v>0.45</v>
      </c>
      <c r="D41" s="100" t="s">
        <v>267</v>
      </c>
      <c r="E41" s="101">
        <v>6</v>
      </c>
      <c r="F41" s="129">
        <f>IF(I33&lt;&gt;0,E41/I33,"")</f>
        <v>0.15</v>
      </c>
      <c r="G41" s="100" t="s">
        <v>271</v>
      </c>
      <c r="H41" s="96">
        <v>34</v>
      </c>
      <c r="I41" s="129">
        <f>IF(I33&lt;&gt;0,H41/I33,"")</f>
        <v>0.85</v>
      </c>
    </row>
    <row r="42" spans="1:9" ht="12.75">
      <c r="A42" s="102" t="s">
        <v>113</v>
      </c>
      <c r="B42" s="97">
        <v>19</v>
      </c>
      <c r="C42" s="129">
        <f>IF(I33&lt;&gt;0,B42/I33,"")</f>
        <v>0.475</v>
      </c>
      <c r="D42" s="102" t="s">
        <v>114</v>
      </c>
      <c r="E42" s="103">
        <v>15</v>
      </c>
      <c r="F42" s="129">
        <f>IF(I33&lt;&gt;0,E42/I33,"")</f>
        <v>0.375</v>
      </c>
      <c r="G42" s="102" t="s">
        <v>28</v>
      </c>
      <c r="H42" s="97">
        <v>6</v>
      </c>
      <c r="I42" s="129">
        <f>IF(I33&lt;&gt;0,H42/I33,"")</f>
        <v>0.15</v>
      </c>
    </row>
    <row r="43" spans="1:9" ht="12.75">
      <c r="A43" s="102" t="s">
        <v>205</v>
      </c>
      <c r="B43" s="97">
        <v>1</v>
      </c>
      <c r="C43" s="129">
        <f>IF(I33&lt;&gt;0,B43/I33,"")</f>
        <v>0.025</v>
      </c>
      <c r="D43" s="102" t="s">
        <v>115</v>
      </c>
      <c r="E43" s="103">
        <v>13</v>
      </c>
      <c r="F43" s="129">
        <f>IF(I33&lt;&gt;0,E43/I33,"")</f>
        <v>0.325</v>
      </c>
      <c r="G43" s="102" t="s">
        <v>49</v>
      </c>
      <c r="H43" s="97">
        <v>0</v>
      </c>
      <c r="I43" s="129">
        <f>IF(I33&lt;&gt;0,H43/I33,"")</f>
        <v>0</v>
      </c>
    </row>
    <row r="44" spans="1:9" ht="13.5" thickBot="1">
      <c r="A44" s="104" t="s">
        <v>116</v>
      </c>
      <c r="B44" s="98">
        <v>2</v>
      </c>
      <c r="C44" s="129">
        <f>IF(I33&lt;&gt;0,B44/I33,"")</f>
        <v>0.05</v>
      </c>
      <c r="D44" s="105" t="s">
        <v>117</v>
      </c>
      <c r="E44" s="106">
        <v>2</v>
      </c>
      <c r="F44" s="131">
        <f>IF(I33&lt;&gt;0,E44/I33,"")</f>
        <v>0.05</v>
      </c>
      <c r="G44" s="105" t="s">
        <v>118</v>
      </c>
      <c r="H44" s="98">
        <v>0</v>
      </c>
      <c r="I44" s="131">
        <f>IF(I33&lt;&gt;0,H44/I33,"")</f>
        <v>0</v>
      </c>
    </row>
    <row r="45" spans="1:9" ht="13.5" thickBot="1">
      <c r="A45" s="107" t="s">
        <v>18</v>
      </c>
      <c r="B45" s="108">
        <f>SUM(B40:B44)</f>
        <v>40</v>
      </c>
      <c r="C45" s="130">
        <f>SUM(C41:C44)</f>
        <v>1</v>
      </c>
      <c r="D45" s="107" t="s">
        <v>18</v>
      </c>
      <c r="E45" s="99">
        <f>SUM(E40:E44)</f>
        <v>40</v>
      </c>
      <c r="F45" s="130">
        <f>SUM(F40:F44)</f>
        <v>1</v>
      </c>
      <c r="G45" s="107" t="s">
        <v>18</v>
      </c>
      <c r="H45" s="99">
        <f>SUM(H40:H44)</f>
        <v>40</v>
      </c>
      <c r="I45" s="130">
        <f>SUM(I41:I44)</f>
        <v>1</v>
      </c>
    </row>
    <row r="46" spans="1:9" ht="13.5" thickBot="1">
      <c r="A46" s="254"/>
      <c r="B46" s="254"/>
      <c r="C46" s="254"/>
      <c r="D46" s="254"/>
      <c r="E46" s="254"/>
      <c r="F46" s="254"/>
      <c r="G46" s="254"/>
      <c r="H46" s="254"/>
      <c r="I46" s="254"/>
    </row>
    <row r="47" spans="1:9" ht="13.5" thickBot="1">
      <c r="A47" s="221" t="s">
        <v>215</v>
      </c>
      <c r="B47" s="222"/>
      <c r="C47" s="222"/>
      <c r="D47" s="222"/>
      <c r="E47" s="222"/>
      <c r="F47" s="222"/>
      <c r="G47" s="222"/>
      <c r="H47" s="222"/>
      <c r="I47" s="223"/>
    </row>
    <row r="48" spans="1:9" ht="12.75">
      <c r="A48" s="215" t="s">
        <v>272</v>
      </c>
      <c r="B48" s="216"/>
      <c r="C48" s="216"/>
      <c r="D48" s="216"/>
      <c r="E48" s="216"/>
      <c r="F48" s="216"/>
      <c r="G48" s="216"/>
      <c r="H48" s="217"/>
      <c r="I48" s="70">
        <f>IF(B41&lt;&gt;0,E40/B41,"")</f>
        <v>0.2222222222222222</v>
      </c>
    </row>
    <row r="49" spans="1:9" ht="12.75">
      <c r="A49" s="218" t="s">
        <v>276</v>
      </c>
      <c r="B49" s="219"/>
      <c r="C49" s="219"/>
      <c r="D49" s="219"/>
      <c r="E49" s="219"/>
      <c r="F49" s="219"/>
      <c r="G49" s="219"/>
      <c r="H49" s="220"/>
      <c r="I49" s="71">
        <f>IF(B41&lt;&gt;0,E41/B41,"")</f>
        <v>0.3333333333333333</v>
      </c>
    </row>
    <row r="50" spans="1:9" ht="12.75">
      <c r="A50" s="270" t="s">
        <v>273</v>
      </c>
      <c r="B50" s="271"/>
      <c r="C50" s="271"/>
      <c r="D50" s="271"/>
      <c r="E50" s="271"/>
      <c r="F50" s="271"/>
      <c r="G50" s="271"/>
      <c r="H50" s="272"/>
      <c r="I50" s="71">
        <f>IF(B41&lt;&gt;0,E42/B41,"")</f>
        <v>0.8333333333333334</v>
      </c>
    </row>
    <row r="51" spans="1:9" ht="12.75">
      <c r="A51" s="218" t="s">
        <v>274</v>
      </c>
      <c r="B51" s="219"/>
      <c r="C51" s="219"/>
      <c r="D51" s="219"/>
      <c r="E51" s="219"/>
      <c r="F51" s="219"/>
      <c r="G51" s="219"/>
      <c r="H51" s="220"/>
      <c r="I51" s="71">
        <f>IF(B42&lt;&gt;0,E43/B42,"")</f>
        <v>0.6842105263157895</v>
      </c>
    </row>
    <row r="52" spans="1:9" ht="13.5" thickBot="1">
      <c r="A52" s="273" t="s">
        <v>275</v>
      </c>
      <c r="B52" s="273"/>
      <c r="C52" s="273"/>
      <c r="D52" s="273"/>
      <c r="E52" s="273"/>
      <c r="F52" s="273"/>
      <c r="G52" s="273"/>
      <c r="H52" s="273"/>
      <c r="I52" s="71">
        <f>IF(B44&lt;&gt;0,E44/(B43+B44),"")</f>
        <v>0.6666666666666666</v>
      </c>
    </row>
    <row r="53" spans="1:9" ht="13.5" thickBot="1">
      <c r="A53" s="254"/>
      <c r="B53" s="254"/>
      <c r="C53" s="254"/>
      <c r="D53" s="254"/>
      <c r="E53" s="254"/>
      <c r="F53" s="254"/>
      <c r="G53" s="254"/>
      <c r="H53" s="254"/>
      <c r="I53" s="254"/>
    </row>
    <row r="54" spans="1:9" ht="13.5" thickBot="1">
      <c r="A54" s="221" t="s">
        <v>216</v>
      </c>
      <c r="B54" s="222"/>
      <c r="C54" s="222"/>
      <c r="D54" s="222"/>
      <c r="E54" s="222"/>
      <c r="F54" s="222"/>
      <c r="G54" s="222"/>
      <c r="H54" s="222"/>
      <c r="I54" s="223"/>
    </row>
    <row r="55" spans="1:9" ht="12.75">
      <c r="A55" s="267" t="s">
        <v>52</v>
      </c>
      <c r="B55" s="268"/>
      <c r="C55" s="268"/>
      <c r="D55" s="268"/>
      <c r="E55" s="268"/>
      <c r="F55" s="268"/>
      <c r="G55" s="268"/>
      <c r="H55" s="269"/>
      <c r="I55" s="72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30680</v>
      </c>
    </row>
    <row r="56" spans="1:9" ht="12.75">
      <c r="A56" s="255" t="s">
        <v>315</v>
      </c>
      <c r="B56" s="364"/>
      <c r="C56" s="364"/>
      <c r="D56" s="364"/>
      <c r="E56" s="364"/>
      <c r="F56" s="364"/>
      <c r="G56" s="364"/>
      <c r="H56" s="365"/>
      <c r="I56" s="68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28720</v>
      </c>
    </row>
    <row r="57" spans="1:9" ht="13.5" thickBot="1">
      <c r="A57" s="366" t="s">
        <v>278</v>
      </c>
      <c r="B57" s="367"/>
      <c r="C57" s="367"/>
      <c r="D57" s="367"/>
      <c r="E57" s="367"/>
      <c r="F57" s="367"/>
      <c r="G57" s="367"/>
      <c r="H57" s="368"/>
      <c r="I57" s="73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26914</v>
      </c>
    </row>
    <row r="58" spans="1:9" ht="13.5" thickBot="1">
      <c r="A58" s="369" t="s">
        <v>277</v>
      </c>
      <c r="B58" s="370"/>
      <c r="C58" s="370"/>
      <c r="D58" s="370"/>
      <c r="E58" s="370"/>
      <c r="F58" s="370"/>
      <c r="G58" s="370"/>
      <c r="H58" s="370"/>
      <c r="I58" s="371"/>
    </row>
    <row r="59" spans="1:9" ht="13.5" thickBot="1">
      <c r="A59" s="254"/>
      <c r="B59" s="254"/>
      <c r="C59" s="254"/>
      <c r="D59" s="254"/>
      <c r="E59" s="254"/>
      <c r="F59" s="254"/>
      <c r="G59" s="254"/>
      <c r="H59" s="254"/>
      <c r="I59" s="254"/>
    </row>
    <row r="60" spans="1:9" ht="13.5" thickBot="1">
      <c r="A60" s="221" t="s">
        <v>217</v>
      </c>
      <c r="B60" s="222"/>
      <c r="C60" s="222"/>
      <c r="D60" s="222"/>
      <c r="E60" s="222"/>
      <c r="F60" s="222"/>
      <c r="G60" s="222"/>
      <c r="H60" s="222"/>
      <c r="I60" s="223"/>
    </row>
    <row r="61" spans="1:9" ht="12.75">
      <c r="A61" s="335" t="s">
        <v>119</v>
      </c>
      <c r="B61" s="252"/>
      <c r="C61" s="252"/>
      <c r="D61" s="252"/>
      <c r="E61" s="252"/>
      <c r="F61" s="252"/>
      <c r="G61" s="252"/>
      <c r="H61" s="253"/>
      <c r="I61" s="87">
        <v>58</v>
      </c>
    </row>
    <row r="62" spans="1:9" ht="12.75">
      <c r="A62" s="263" t="s">
        <v>120</v>
      </c>
      <c r="B62" s="256"/>
      <c r="C62" s="256"/>
      <c r="D62" s="256"/>
      <c r="E62" s="256"/>
      <c r="F62" s="256"/>
      <c r="G62" s="256"/>
      <c r="H62" s="257"/>
      <c r="I62" s="74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90</v>
      </c>
    </row>
    <row r="63" spans="1:9" ht="12.75">
      <c r="A63" s="263" t="s">
        <v>121</v>
      </c>
      <c r="B63" s="256"/>
      <c r="C63" s="256"/>
      <c r="D63" s="256"/>
      <c r="E63" s="256"/>
      <c r="F63" s="256"/>
      <c r="G63" s="256"/>
      <c r="H63" s="257"/>
      <c r="I63" s="74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3611</v>
      </c>
    </row>
    <row r="64" spans="1:9" ht="12.75">
      <c r="A64" s="263" t="s">
        <v>122</v>
      </c>
      <c r="B64" s="256"/>
      <c r="C64" s="256"/>
      <c r="D64" s="256"/>
      <c r="E64" s="256"/>
      <c r="F64" s="256"/>
      <c r="G64" s="256"/>
      <c r="H64" s="257"/>
      <c r="I64" s="74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374</v>
      </c>
    </row>
    <row r="65" spans="1:9" ht="12.75">
      <c r="A65" s="263" t="s">
        <v>123</v>
      </c>
      <c r="B65" s="256"/>
      <c r="C65" s="256"/>
      <c r="D65" s="256"/>
      <c r="E65" s="256"/>
      <c r="F65" s="256"/>
      <c r="G65" s="256"/>
      <c r="H65" s="257"/>
      <c r="I65" s="74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5741</v>
      </c>
    </row>
    <row r="66" spans="1:9" ht="12.75">
      <c r="A66" s="350" t="s">
        <v>316</v>
      </c>
      <c r="B66" s="351"/>
      <c r="C66" s="351"/>
      <c r="D66" s="351"/>
      <c r="E66" s="351"/>
      <c r="F66" s="351"/>
      <c r="G66" s="351"/>
      <c r="H66" s="352"/>
      <c r="I66" s="74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8867</v>
      </c>
    </row>
    <row r="67" spans="1:9" ht="12.75">
      <c r="A67" s="263" t="s">
        <v>227</v>
      </c>
      <c r="B67" s="256"/>
      <c r="C67" s="256"/>
      <c r="D67" s="256"/>
      <c r="E67" s="256"/>
      <c r="F67" s="256"/>
      <c r="G67" s="256"/>
      <c r="H67" s="257"/>
      <c r="I67" s="71">
        <f>IF(I62&lt;&gt;0,I63/I62,"0-turma")</f>
        <v>40.12222222222222</v>
      </c>
    </row>
    <row r="68" spans="1:9" ht="13.5" thickBot="1">
      <c r="A68" s="334" t="s">
        <v>124</v>
      </c>
      <c r="B68" s="234"/>
      <c r="C68" s="234"/>
      <c r="D68" s="234"/>
      <c r="E68" s="234"/>
      <c r="F68" s="234"/>
      <c r="G68" s="234"/>
      <c r="H68" s="200"/>
      <c r="I68" s="88">
        <v>17</v>
      </c>
    </row>
    <row r="69" spans="1:9" ht="13.5" thickBot="1">
      <c r="A69" s="285"/>
      <c r="B69" s="285"/>
      <c r="C69" s="285"/>
      <c r="D69" s="285"/>
      <c r="E69" s="285"/>
      <c r="F69" s="285"/>
      <c r="G69" s="285"/>
      <c r="H69" s="285"/>
      <c r="I69" s="285"/>
    </row>
    <row r="70" spans="1:9" ht="13.5" thickBot="1">
      <c r="A70" s="221" t="s">
        <v>218</v>
      </c>
      <c r="B70" s="222"/>
      <c r="C70" s="222"/>
      <c r="D70" s="222"/>
      <c r="E70" s="222"/>
      <c r="F70" s="222"/>
      <c r="G70" s="222"/>
      <c r="H70" s="222"/>
      <c r="I70" s="223"/>
    </row>
    <row r="71" spans="1:9" ht="12.75">
      <c r="A71" s="335" t="s">
        <v>125</v>
      </c>
      <c r="B71" s="252"/>
      <c r="C71" s="252"/>
      <c r="D71" s="252"/>
      <c r="E71" s="252"/>
      <c r="F71" s="252"/>
      <c r="G71" s="252"/>
      <c r="H71" s="253"/>
      <c r="I71" s="87">
        <v>10</v>
      </c>
    </row>
    <row r="72" spans="1:9" ht="15.75">
      <c r="A72" s="263" t="s">
        <v>126</v>
      </c>
      <c r="B72" s="256"/>
      <c r="C72" s="256"/>
      <c r="D72" s="256"/>
      <c r="E72" s="256"/>
      <c r="F72" s="256"/>
      <c r="G72" s="256"/>
      <c r="H72" s="257"/>
      <c r="I72" s="148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10</v>
      </c>
    </row>
    <row r="73" spans="1:9" ht="12.75">
      <c r="A73" s="263" t="s">
        <v>127</v>
      </c>
      <c r="B73" s="256"/>
      <c r="C73" s="256"/>
      <c r="D73" s="256"/>
      <c r="E73" s="256"/>
      <c r="F73" s="256"/>
      <c r="G73" s="256"/>
      <c r="H73" s="257"/>
      <c r="I73" s="149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41</v>
      </c>
    </row>
    <row r="74" spans="1:9" ht="12.75">
      <c r="A74" s="263" t="s">
        <v>128</v>
      </c>
      <c r="B74" s="256"/>
      <c r="C74" s="256"/>
      <c r="D74" s="256"/>
      <c r="E74" s="256"/>
      <c r="F74" s="256"/>
      <c r="G74" s="256"/>
      <c r="H74" s="257"/>
      <c r="I74" s="74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26.3</v>
      </c>
    </row>
    <row r="75" spans="1:9" ht="12.75">
      <c r="A75" s="263" t="s">
        <v>129</v>
      </c>
      <c r="B75" s="256"/>
      <c r="C75" s="256"/>
      <c r="D75" s="256"/>
      <c r="E75" s="256"/>
      <c r="F75" s="256"/>
      <c r="G75" s="256"/>
      <c r="H75" s="257"/>
      <c r="I75" s="149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429</v>
      </c>
    </row>
    <row r="76" spans="1:9" ht="12.75">
      <c r="A76" s="350" t="s">
        <v>130</v>
      </c>
      <c r="B76" s="351"/>
      <c r="C76" s="351"/>
      <c r="D76" s="351"/>
      <c r="E76" s="351"/>
      <c r="F76" s="351"/>
      <c r="G76" s="351"/>
      <c r="H76" s="352"/>
      <c r="I76" s="74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445</v>
      </c>
    </row>
    <row r="77" spans="1:9" ht="12.75">
      <c r="A77" s="263" t="s">
        <v>228</v>
      </c>
      <c r="B77" s="256"/>
      <c r="C77" s="256"/>
      <c r="D77" s="256"/>
      <c r="E77" s="256"/>
      <c r="F77" s="256"/>
      <c r="G77" s="256"/>
      <c r="H77" s="257"/>
      <c r="I77" s="71">
        <f>IF(I72&lt;&gt;0,I73/I72,"0-turma")</f>
        <v>4.1</v>
      </c>
    </row>
    <row r="78" spans="1:9" ht="13.5" thickBot="1">
      <c r="A78" s="334" t="s">
        <v>131</v>
      </c>
      <c r="B78" s="234"/>
      <c r="C78" s="234"/>
      <c r="D78" s="234"/>
      <c r="E78" s="234"/>
      <c r="F78" s="234"/>
      <c r="G78" s="234"/>
      <c r="H78" s="200"/>
      <c r="I78" s="88">
        <v>1</v>
      </c>
    </row>
    <row r="79" spans="1:9" ht="13.5" thickBot="1">
      <c r="A79" s="238"/>
      <c r="B79" s="238"/>
      <c r="C79" s="238"/>
      <c r="D79" s="238"/>
      <c r="E79" s="238"/>
      <c r="F79" s="238"/>
      <c r="G79" s="238"/>
      <c r="H79" s="238"/>
      <c r="I79" s="238"/>
    </row>
    <row r="80" spans="1:9" ht="13.5" thickBot="1">
      <c r="A80" s="221" t="s">
        <v>219</v>
      </c>
      <c r="B80" s="222"/>
      <c r="C80" s="222"/>
      <c r="D80" s="222"/>
      <c r="E80" s="222"/>
      <c r="F80" s="222"/>
      <c r="G80" s="222"/>
      <c r="H80" s="222"/>
      <c r="I80" s="223"/>
    </row>
    <row r="81" spans="1:9" ht="12.75">
      <c r="A81" s="335" t="s">
        <v>132</v>
      </c>
      <c r="B81" s="252"/>
      <c r="C81" s="252"/>
      <c r="D81" s="252"/>
      <c r="E81" s="252"/>
      <c r="F81" s="252"/>
      <c r="G81" s="252"/>
      <c r="H81" s="253"/>
      <c r="I81" s="70">
        <f>IF(I62+I72&lt;&gt;0,(I63+I73)/(I62+I72),"0")</f>
        <v>36.52</v>
      </c>
    </row>
    <row r="82" spans="1:9" ht="12.75">
      <c r="A82" s="263" t="s">
        <v>229</v>
      </c>
      <c r="B82" s="256"/>
      <c r="C82" s="256"/>
      <c r="D82" s="256"/>
      <c r="E82" s="256"/>
      <c r="F82" s="256"/>
      <c r="G82" s="256"/>
      <c r="H82" s="257"/>
      <c r="I82" s="71">
        <f>IF(I36&lt;&gt;0,(I62+I72)/I36,"0")</f>
        <v>2.7777777777777777</v>
      </c>
    </row>
    <row r="83" spans="1:9" ht="12.75">
      <c r="A83" s="263" t="s">
        <v>230</v>
      </c>
      <c r="B83" s="256"/>
      <c r="C83" s="256"/>
      <c r="D83" s="256"/>
      <c r="E83" s="256"/>
      <c r="F83" s="256"/>
      <c r="G83" s="256"/>
      <c r="H83" s="257"/>
      <c r="I83" s="71">
        <f>IF(I36&lt;&gt;0,(I73+I63)/I36,"0")</f>
        <v>101.44444444444444</v>
      </c>
    </row>
    <row r="84" spans="1:9" ht="12.75">
      <c r="A84" s="264" t="s">
        <v>231</v>
      </c>
      <c r="B84" s="264"/>
      <c r="C84" s="264"/>
      <c r="D84" s="264"/>
      <c r="E84" s="264"/>
      <c r="F84" s="264"/>
      <c r="G84" s="264"/>
      <c r="H84" s="264"/>
      <c r="I84" s="71">
        <f>IF(I36&lt;&gt;0,(I64+I74)/I36,"0")</f>
        <v>11.119444444444445</v>
      </c>
    </row>
    <row r="85" spans="1:9" ht="12.75">
      <c r="A85" s="333" t="s">
        <v>232</v>
      </c>
      <c r="B85" s="333"/>
      <c r="C85" s="333"/>
      <c r="D85" s="333"/>
      <c r="E85" s="333"/>
      <c r="F85" s="333"/>
      <c r="G85" s="333"/>
      <c r="H85" s="333"/>
      <c r="I85" s="71">
        <f>IF(I36&lt;&gt;0,(I65+I75)/15/I36,"0-docente")</f>
        <v>11.425925925925926</v>
      </c>
    </row>
    <row r="86" spans="1:9" ht="13.5" thickBot="1">
      <c r="A86" s="378"/>
      <c r="B86" s="378"/>
      <c r="C86" s="378"/>
      <c r="D86" s="378"/>
      <c r="E86" s="378"/>
      <c r="F86" s="378"/>
      <c r="G86" s="378"/>
      <c r="H86" s="378"/>
      <c r="I86" s="378"/>
    </row>
    <row r="87" spans="1:9" ht="13.5" thickBot="1">
      <c r="A87" s="221" t="s">
        <v>220</v>
      </c>
      <c r="B87" s="222"/>
      <c r="C87" s="222"/>
      <c r="D87" s="222"/>
      <c r="E87" s="222"/>
      <c r="F87" s="222"/>
      <c r="G87" s="222"/>
      <c r="H87" s="222"/>
      <c r="I87" s="223"/>
    </row>
    <row r="88" spans="1:9" ht="13.5" thickBot="1">
      <c r="A88" s="243" t="s">
        <v>133</v>
      </c>
      <c r="B88" s="222"/>
      <c r="C88" s="222"/>
      <c r="D88" s="244"/>
      <c r="E88" s="142" t="s">
        <v>134</v>
      </c>
      <c r="F88" s="247" t="s">
        <v>135</v>
      </c>
      <c r="G88" s="248"/>
      <c r="H88" s="247" t="s">
        <v>136</v>
      </c>
      <c r="I88" s="248"/>
    </row>
    <row r="89" spans="1:9" ht="12.75">
      <c r="A89" s="251" t="s">
        <v>137</v>
      </c>
      <c r="B89" s="252"/>
      <c r="C89" s="252"/>
      <c r="D89" s="253"/>
      <c r="E89" s="75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1880</v>
      </c>
      <c r="F89" s="265">
        <f>IF(E93&lt;&gt;0,E89/E93,"0-Aluno")</f>
        <v>0.5206314040432013</v>
      </c>
      <c r="G89" s="266"/>
      <c r="H89" s="232">
        <f>IF(E89+E90&lt;&gt;0,E89/(E89+E90),"0-Aluno")</f>
        <v>0.6755300035932447</v>
      </c>
      <c r="I89" s="232"/>
    </row>
    <row r="90" spans="1:9" ht="12.75">
      <c r="A90" s="255" t="s">
        <v>138</v>
      </c>
      <c r="B90" s="256"/>
      <c r="C90" s="256"/>
      <c r="D90" s="257"/>
      <c r="E90" s="76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903</v>
      </c>
      <c r="F90" s="258">
        <f>IF(E93&lt;&gt;0,E90/E93,"0-Aluno")</f>
        <v>0.2500692328994738</v>
      </c>
      <c r="G90" s="231"/>
      <c r="H90" s="231">
        <f>IF(E89+E90&lt;&gt;0,E90/(E89+E90),"0-Aluno")</f>
        <v>0.3244699964067553</v>
      </c>
      <c r="I90" s="231"/>
    </row>
    <row r="91" spans="1:9" ht="12.75">
      <c r="A91" s="255" t="s">
        <v>139</v>
      </c>
      <c r="B91" s="256"/>
      <c r="C91" s="256"/>
      <c r="D91" s="257"/>
      <c r="E91" s="77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828</v>
      </c>
      <c r="F91" s="258">
        <f>IF(E93&lt;&gt;0,E91/E93,"0-Aluno")</f>
        <v>0.22929936305732485</v>
      </c>
      <c r="G91" s="231"/>
      <c r="H91" s="259" t="s">
        <v>7</v>
      </c>
      <c r="I91" s="260"/>
    </row>
    <row r="92" spans="1:9" ht="13.5" thickBot="1">
      <c r="A92" s="233" t="s">
        <v>140</v>
      </c>
      <c r="B92" s="234"/>
      <c r="C92" s="234"/>
      <c r="D92" s="200"/>
      <c r="E92" s="78">
        <f>E90+E91</f>
        <v>1731</v>
      </c>
      <c r="F92" s="201">
        <f>IF(E93&lt;&gt;0,E92/E93,"0-Aluno")</f>
        <v>0.47936859595679865</v>
      </c>
      <c r="G92" s="202"/>
      <c r="H92" s="261" t="s">
        <v>7</v>
      </c>
      <c r="I92" s="262"/>
    </row>
    <row r="93" spans="1:9" ht="13.5" thickBot="1">
      <c r="A93" s="233" t="s">
        <v>281</v>
      </c>
      <c r="B93" s="234"/>
      <c r="C93" s="234"/>
      <c r="D93" s="200"/>
      <c r="E93" s="78">
        <f>E89+E92</f>
        <v>3611</v>
      </c>
      <c r="F93" s="201">
        <f>IF(E93&lt;&gt;0,F89+F92,"0-aluno")</f>
        <v>1</v>
      </c>
      <c r="G93" s="202"/>
      <c r="H93" s="202">
        <f>IF(E93&lt;&gt;0,H89+H90,"0-Aluno")</f>
        <v>1</v>
      </c>
      <c r="I93" s="202"/>
    </row>
    <row r="94" spans="1:9" ht="14.25" customHeight="1" thickBot="1">
      <c r="A94" s="254"/>
      <c r="B94" s="254"/>
      <c r="C94" s="254"/>
      <c r="D94" s="254"/>
      <c r="E94" s="254"/>
      <c r="F94" s="254"/>
      <c r="G94" s="254"/>
      <c r="H94" s="254"/>
      <c r="I94" s="254"/>
    </row>
    <row r="95" spans="1:9" ht="13.5" thickBot="1">
      <c r="A95" s="221" t="s">
        <v>221</v>
      </c>
      <c r="B95" s="222"/>
      <c r="C95" s="222"/>
      <c r="D95" s="222"/>
      <c r="E95" s="222"/>
      <c r="F95" s="222"/>
      <c r="G95" s="222"/>
      <c r="H95" s="222"/>
      <c r="I95" s="223"/>
    </row>
    <row r="96" spans="1:9" ht="13.5" thickBot="1">
      <c r="A96" s="243" t="s">
        <v>133</v>
      </c>
      <c r="B96" s="222"/>
      <c r="C96" s="222"/>
      <c r="D96" s="244"/>
      <c r="E96" s="142" t="s">
        <v>134</v>
      </c>
      <c r="F96" s="245" t="s">
        <v>135</v>
      </c>
      <c r="G96" s="246"/>
      <c r="H96" s="247" t="s">
        <v>136</v>
      </c>
      <c r="I96" s="248"/>
    </row>
    <row r="97" spans="1:9" ht="12.75">
      <c r="A97" s="251" t="s">
        <v>137</v>
      </c>
      <c r="B97" s="252"/>
      <c r="C97" s="252"/>
      <c r="D97" s="253"/>
      <c r="E97" s="79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38</v>
      </c>
      <c r="F97" s="230">
        <f>IF(E101&lt;&gt;0,E97/E101,"0-Aluno")</f>
        <v>0.926829268292683</v>
      </c>
      <c r="G97" s="231"/>
      <c r="H97" s="232">
        <f>IF(E97+E98&lt;&gt;0,E97/(E97+E98),"0-Aluno")</f>
        <v>0.926829268292683</v>
      </c>
      <c r="I97" s="232"/>
    </row>
    <row r="98" spans="1:9" ht="12.75">
      <c r="A98" s="255" t="s">
        <v>138</v>
      </c>
      <c r="B98" s="256"/>
      <c r="C98" s="256"/>
      <c r="D98" s="257"/>
      <c r="E98" s="80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3</v>
      </c>
      <c r="F98" s="230">
        <f>IF(E101&lt;&gt;0,E98/E101,"0-Aluno")</f>
        <v>0.07317073170731707</v>
      </c>
      <c r="G98" s="231"/>
      <c r="H98" s="232">
        <f>IF(E97+E98&lt;&gt;0,E98/(E97+E98),"0-Aluno")</f>
        <v>0.07317073170731707</v>
      </c>
      <c r="I98" s="232"/>
    </row>
    <row r="99" spans="1:9" ht="12.75">
      <c r="A99" s="255" t="s">
        <v>139</v>
      </c>
      <c r="B99" s="256"/>
      <c r="C99" s="256"/>
      <c r="D99" s="257"/>
      <c r="E99" s="80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0</v>
      </c>
      <c r="F99" s="230">
        <f>IF(E101&lt;&gt;0,E99/E101,"0-Aluno")</f>
        <v>0</v>
      </c>
      <c r="G99" s="231"/>
      <c r="H99" s="259" t="s">
        <v>7</v>
      </c>
      <c r="I99" s="260"/>
    </row>
    <row r="100" spans="1:9" ht="13.5" thickBot="1">
      <c r="A100" s="233" t="s">
        <v>140</v>
      </c>
      <c r="B100" s="234"/>
      <c r="C100" s="234"/>
      <c r="D100" s="200"/>
      <c r="E100" s="78">
        <f>E98+E99</f>
        <v>3</v>
      </c>
      <c r="F100" s="362">
        <f>IF(E101&lt;&gt;0,E100/E101,"0-Aluno")</f>
        <v>0.07317073170731707</v>
      </c>
      <c r="G100" s="363"/>
      <c r="H100" s="259" t="s">
        <v>7</v>
      </c>
      <c r="I100" s="260"/>
    </row>
    <row r="101" spans="1:9" ht="13.5" thickBot="1">
      <c r="A101" s="233" t="s">
        <v>281</v>
      </c>
      <c r="B101" s="234"/>
      <c r="C101" s="234"/>
      <c r="D101" s="200"/>
      <c r="E101" s="78">
        <f>E97+E100</f>
        <v>41</v>
      </c>
      <c r="F101" s="249">
        <f>IF(E101&lt;&gt;0,F97+F100,"0-Aluno")</f>
        <v>1</v>
      </c>
      <c r="G101" s="250"/>
      <c r="H101" s="202">
        <f>IF(E101&lt;&gt;0,H97+H98,"0-Aluno")</f>
        <v>1</v>
      </c>
      <c r="I101" s="202"/>
    </row>
    <row r="102" spans="1:9" ht="13.5" thickBot="1">
      <c r="A102" s="221" t="s">
        <v>222</v>
      </c>
      <c r="B102" s="222"/>
      <c r="C102" s="222"/>
      <c r="D102" s="222"/>
      <c r="E102" s="222"/>
      <c r="F102" s="222"/>
      <c r="G102" s="222"/>
      <c r="H102" s="222"/>
      <c r="I102" s="223"/>
    </row>
    <row r="103" spans="1:9" ht="13.5" thickBot="1">
      <c r="A103" s="372" t="s">
        <v>133</v>
      </c>
      <c r="B103" s="373"/>
      <c r="C103" s="373"/>
      <c r="D103" s="373"/>
      <c r="E103" s="373"/>
      <c r="F103" s="373"/>
      <c r="G103" s="373"/>
      <c r="H103" s="374"/>
      <c r="I103" s="143" t="s">
        <v>141</v>
      </c>
    </row>
    <row r="104" spans="1:9" ht="12.75">
      <c r="A104" s="375" t="s">
        <v>142</v>
      </c>
      <c r="B104" s="376"/>
      <c r="C104" s="376"/>
      <c r="D104" s="376"/>
      <c r="E104" s="376"/>
      <c r="F104" s="376"/>
      <c r="G104" s="376"/>
      <c r="H104" s="377"/>
      <c r="I104" s="94">
        <v>1</v>
      </c>
    </row>
    <row r="105" spans="1:9" ht="12.75">
      <c r="A105" s="358" t="s">
        <v>143</v>
      </c>
      <c r="B105" s="359"/>
      <c r="C105" s="359"/>
      <c r="D105" s="359"/>
      <c r="E105" s="359"/>
      <c r="F105" s="359"/>
      <c r="G105" s="359"/>
      <c r="H105" s="360"/>
      <c r="I105" s="93">
        <v>16</v>
      </c>
    </row>
    <row r="106" spans="1:9" ht="12.75">
      <c r="A106" s="358" t="s">
        <v>144</v>
      </c>
      <c r="B106" s="359"/>
      <c r="C106" s="359"/>
      <c r="D106" s="359"/>
      <c r="E106" s="359"/>
      <c r="F106" s="359"/>
      <c r="G106" s="359"/>
      <c r="H106" s="360"/>
      <c r="I106" s="93">
        <v>15</v>
      </c>
    </row>
    <row r="107" spans="1:9" ht="12.75">
      <c r="A107" s="358" t="s">
        <v>145</v>
      </c>
      <c r="B107" s="359"/>
      <c r="C107" s="359"/>
      <c r="D107" s="359"/>
      <c r="E107" s="359"/>
      <c r="F107" s="359"/>
      <c r="G107" s="359"/>
      <c r="H107" s="360"/>
      <c r="I107" s="93">
        <v>10</v>
      </c>
    </row>
    <row r="108" spans="1:9" ht="12.75">
      <c r="A108" s="358" t="s">
        <v>50</v>
      </c>
      <c r="B108" s="359"/>
      <c r="C108" s="359"/>
      <c r="D108" s="359"/>
      <c r="E108" s="359"/>
      <c r="F108" s="359"/>
      <c r="G108" s="359"/>
      <c r="H108" s="360"/>
      <c r="I108" s="93">
        <v>20</v>
      </c>
    </row>
    <row r="109" spans="1:9" ht="12.75">
      <c r="A109" s="358" t="s">
        <v>288</v>
      </c>
      <c r="B109" s="359"/>
      <c r="C109" s="359"/>
      <c r="D109" s="359"/>
      <c r="E109" s="359"/>
      <c r="F109" s="359"/>
      <c r="G109" s="359"/>
      <c r="H109" s="360"/>
      <c r="I109" s="93">
        <v>4</v>
      </c>
    </row>
    <row r="110" spans="1:9" ht="12.75">
      <c r="A110" s="358" t="s">
        <v>146</v>
      </c>
      <c r="B110" s="359"/>
      <c r="C110" s="359"/>
      <c r="D110" s="359"/>
      <c r="E110" s="359"/>
      <c r="F110" s="359"/>
      <c r="G110" s="359"/>
      <c r="H110" s="360"/>
      <c r="I110" s="93">
        <v>3</v>
      </c>
    </row>
    <row r="111" spans="1:9" ht="13.5" thickBot="1">
      <c r="A111" s="336" t="s">
        <v>18</v>
      </c>
      <c r="B111" s="337"/>
      <c r="C111" s="337"/>
      <c r="D111" s="337"/>
      <c r="E111" s="337"/>
      <c r="F111" s="337"/>
      <c r="G111" s="337"/>
      <c r="H111" s="338"/>
      <c r="I111" s="84">
        <f>SUM(I104:J110)</f>
        <v>69</v>
      </c>
    </row>
    <row r="112" spans="1:9" ht="11.25" customHeight="1" thickBot="1">
      <c r="A112" s="254"/>
      <c r="B112" s="254"/>
      <c r="C112" s="254"/>
      <c r="D112" s="254"/>
      <c r="E112" s="254"/>
      <c r="F112" s="254"/>
      <c r="G112" s="254"/>
      <c r="H112" s="254"/>
      <c r="I112" s="254"/>
    </row>
    <row r="113" spans="1:9" ht="13.5" thickBot="1">
      <c r="A113" s="221" t="s">
        <v>223</v>
      </c>
      <c r="B113" s="222"/>
      <c r="C113" s="222"/>
      <c r="D113" s="222"/>
      <c r="E113" s="222"/>
      <c r="F113" s="222"/>
      <c r="G113" s="222"/>
      <c r="H113" s="222"/>
      <c r="I113" s="223"/>
    </row>
    <row r="114" spans="1:9" ht="13.5" thickBot="1">
      <c r="A114" s="224" t="s">
        <v>133</v>
      </c>
      <c r="B114" s="225"/>
      <c r="C114" s="225"/>
      <c r="D114" s="225"/>
      <c r="E114" s="225"/>
      <c r="F114" s="225"/>
      <c r="G114" s="225"/>
      <c r="H114" s="226"/>
      <c r="I114" s="143" t="s">
        <v>107</v>
      </c>
    </row>
    <row r="115" spans="1:9" ht="12.75">
      <c r="A115" s="227" t="s">
        <v>54</v>
      </c>
      <c r="B115" s="228"/>
      <c r="C115" s="228"/>
      <c r="D115" s="228"/>
      <c r="E115" s="228"/>
      <c r="F115" s="228"/>
      <c r="G115" s="228"/>
      <c r="H115" s="229"/>
      <c r="I115" s="89">
        <v>21</v>
      </c>
    </row>
    <row r="116" spans="1:9" ht="12.75">
      <c r="A116" s="353" t="s">
        <v>55</v>
      </c>
      <c r="B116" s="346"/>
      <c r="C116" s="346"/>
      <c r="D116" s="346"/>
      <c r="E116" s="346"/>
      <c r="F116" s="346"/>
      <c r="G116" s="346"/>
      <c r="H116" s="354"/>
      <c r="I116" s="90">
        <v>5</v>
      </c>
    </row>
    <row r="117" spans="1:9" ht="12.75">
      <c r="A117" s="353" t="s">
        <v>206</v>
      </c>
      <c r="B117" s="346"/>
      <c r="C117" s="346"/>
      <c r="D117" s="346"/>
      <c r="E117" s="346"/>
      <c r="F117" s="346"/>
      <c r="G117" s="346"/>
      <c r="H117" s="354"/>
      <c r="I117" s="90">
        <v>2</v>
      </c>
    </row>
    <row r="118" spans="1:9" ht="12.75">
      <c r="A118" s="353" t="s">
        <v>56</v>
      </c>
      <c r="B118" s="346"/>
      <c r="C118" s="346"/>
      <c r="D118" s="346"/>
      <c r="E118" s="346"/>
      <c r="F118" s="346"/>
      <c r="G118" s="346"/>
      <c r="H118" s="354"/>
      <c r="I118" s="90">
        <v>13</v>
      </c>
    </row>
    <row r="119" spans="1:9" ht="12.75">
      <c r="A119" s="353" t="s">
        <v>57</v>
      </c>
      <c r="B119" s="346"/>
      <c r="C119" s="346"/>
      <c r="D119" s="346"/>
      <c r="E119" s="346"/>
      <c r="F119" s="346"/>
      <c r="G119" s="346"/>
      <c r="H119" s="354"/>
      <c r="I119" s="90">
        <v>31</v>
      </c>
    </row>
    <row r="120" spans="1:9" ht="12.75" customHeight="1" thickBot="1">
      <c r="A120" s="240" t="s">
        <v>58</v>
      </c>
      <c r="B120" s="241"/>
      <c r="C120" s="241"/>
      <c r="D120" s="241"/>
      <c r="E120" s="241"/>
      <c r="F120" s="241"/>
      <c r="G120" s="241"/>
      <c r="H120" s="242"/>
      <c r="I120" s="146">
        <v>1</v>
      </c>
    </row>
    <row r="121" spans="1:9" ht="13.5" thickBot="1">
      <c r="A121" s="221" t="s">
        <v>282</v>
      </c>
      <c r="B121" s="222"/>
      <c r="C121" s="222"/>
      <c r="D121" s="222"/>
      <c r="E121" s="222"/>
      <c r="F121" s="222"/>
      <c r="G121" s="222"/>
      <c r="H121" s="222"/>
      <c r="I121" s="223"/>
    </row>
    <row r="122" spans="1:13" ht="12.75" customHeight="1">
      <c r="A122" s="355" t="s">
        <v>283</v>
      </c>
      <c r="B122" s="355"/>
      <c r="C122" s="355"/>
      <c r="D122" s="355"/>
      <c r="E122" s="355"/>
      <c r="F122" s="355"/>
      <c r="G122" s="356">
        <f>SUM(J122+K122+L122+M122)</f>
        <v>287257.86</v>
      </c>
      <c r="H122" s="356"/>
      <c r="I122" s="356"/>
      <c r="J122" s="150">
        <f>SUM('[1]p1'!A144,'[1]p2'!A144,'[1]p3'!A144,'[1]p4'!A144,'[1]p5'!A144,'[1]p6'!A144,'[1]p7'!A144,'[1]p8'!A144,'[1]p9'!A144,'[1]p10'!A144,'[1]p11'!A144,'[1]p12'!A144,'[1]p13'!A144,'[1]p14'!A144,'[1]p15'!A144,'[1]p16'!A144,'[1]p17'!A144,'[1]p18'!A144,'[1]p19'!A144,'[1]p20'!A144,'[1]p21'!A144,'[1]p22'!A144,'[1]p23'!A144,'[1]p24'!A144,'[1]p25'!A144)+SUM('[1]p26'!A144,'[1]p27'!A144,'[1]p28'!A144,'[1]p29'!A144,'[1]p30'!A144,'[1]p31'!A144,'[1]p32'!A144,'[1]p33'!A144,'[1]p34'!A144,'[1]p35'!A144,'[1]p36'!A144,'[1]p37'!A144,'[1]p38'!A144,'[1]p39'!A144,'[1]p40'!A144,'[1]p41'!A144,'[1]p42'!A144,'[1]p43'!A144,'[1]p44'!A144,'[1]p45'!A144,'[1]p46'!A144,'[1]p47'!A144,'[1]p48'!A144,'[1]p49'!A144,'[1]p50'!A144)</f>
        <v>185823.86</v>
      </c>
      <c r="K122" s="150">
        <f>SUM('[1]p1'!A151,'[1]p2'!A151,'[1]p3'!A151,'[1]p4'!A151,'[1]p5'!A151,'[1]p6'!A151,'[1]p7'!A151,'[1]p8'!A151,'[1]p9'!A151,'[1]p10'!A151,'[1]p11'!A151,'[1]p12'!A151,'[1]p13'!A151,'[1]p14'!A151,'[1]p15'!A151,'[1]p16'!A151,'[1]p17'!A151,'[1]p18'!A151,'[1]p19'!A151,'[1]p20'!A151,'[1]p21'!A151,'[1]p22'!A151,'[1]p23'!A151,'[1]p24'!A151,'[1]p25'!A151)+SUM('[1]p26'!A151,'[1]p27'!A151,'[1]p28'!A151,'[1]p29'!A151,'[1]p30'!A151,'[1]p31'!A151,'[1]p32'!A151,'[1]p33'!A151,'[1]p34'!A151,'[1]p35'!A151,'[1]p36'!A151,'[1]p37'!A151,'[1]p38'!A151,'[1]p39'!A151,'[1]p40'!A151,'[1]p41'!A151,'[1]p42'!A151,'[1]p43'!A151,'[1]p44'!A151,'[1]p45'!A151,'[1]p46'!A151,'[1]p47'!A151,'[1]p48'!A151,'[1]p49'!A151,'[1]p50'!A151)</f>
        <v>17634</v>
      </c>
      <c r="L122" s="150">
        <f>SUM('[1]p1'!A158,'[1]p2'!A158,'[1]p3'!A158,'[1]p4'!A158,'[1]p5'!A158,'[1]p6'!A158,'[1]p7'!A158,'[1]p8'!A158,'[1]p9'!A158,'[1]p10'!A158,'[1]p11'!A158,'[1]p12'!A158,'[1]p13'!A158,'[1]p14'!A158,'[1]p15'!A158,'[1]p16'!A158,'[1]p17'!A158,'[1]p18'!A158,'[1]p19'!A158,'[1]p20'!A158,'[1]p21'!A158,'[1]p22'!A158,'[1]p23'!A158,'[1]p24'!A158,'[1]p25'!A158)+SUM('[1]p26'!A158,'[1]p27'!A158,'[1]p28'!A158,'[1]p29'!A158,'[1]p30'!A158,'[1]p31'!A158,'[1]p32'!A158,'[1]p33'!A158,'[1]p34'!A158,'[1]p35'!A158,'[1]p36'!A158,'[1]p37'!A158,'[1]p38'!A158,'[1]p39'!A158,'[1]p40'!A158,'[1]p41'!A158,'[1]p42'!A158,'[1]p43'!A158,'[1]p44'!A158,'[1]p45'!A158,'[1]p46'!A158,'[1]p47'!A158,'[1]p48'!A158,'[1]p49'!A158,'[1]p50'!A158)</f>
        <v>73800</v>
      </c>
      <c r="M122" s="150">
        <f>SUM('[1]p1'!A165,'[1]p2'!A165,'[1]p3'!A165,'[1]p4'!A165,'[1]p5'!A165,'[1]p6'!A165,'[1]p7'!A165,'[1]p8'!A165,'[1]p9'!A165,'[1]p10'!A165,'[1]p11'!A165,'[1]p12'!A165,'[1]p13'!A165,'[1]p14'!A165,'[1]p15'!A165,'[1]p16'!A165,'[1]p17'!A165,'[1]p18'!A165,'[1]p19'!A165,'[1]p20'!A165,'[1]p21'!A165,'[1]p22'!A165,'[1]p23'!A165,'[1]p24'!A165,'[1]p25'!A165)+SUM('[1]p26'!A165,'[1]p27'!A165,'[1]p28'!A165,'[1]p29'!A165,'[1]p30'!A165,'[1]p31'!A165,'[1]p32'!A165,'[1]p33'!A165,'[1]p34'!A165,'[1]p35'!A165,'[1]p36'!A165,'[1]p37'!A165,'[1]p38'!A165,'[1]p39'!A165,'[1]p40'!A165,'[1]p41'!A165,'[1]p42'!A165,'[1]p43'!A165,'[1]p44'!A165,'[1]p45'!A165,'[1]p46'!A165,'[1]p47'!A165,'[1]p48'!A165,'[1]p49'!A165,'[1]p50'!A165)</f>
        <v>10000</v>
      </c>
    </row>
    <row r="123" spans="1:13" ht="12.75" customHeight="1">
      <c r="A123" s="211" t="s">
        <v>287</v>
      </c>
      <c r="B123" s="211"/>
      <c r="C123" s="211"/>
      <c r="D123" s="211"/>
      <c r="E123" s="211"/>
      <c r="F123" s="211"/>
      <c r="G123" s="212">
        <f>SUM(J123+K123+L123+M123)</f>
        <v>287257.86</v>
      </c>
      <c r="H123" s="212"/>
      <c r="I123" s="212"/>
      <c r="J123" s="150">
        <f>SUM('[1]p1'!D144,'[1]p2'!D144,'[1]p3'!D144,'[1]p4'!D144,'[1]p5'!D144,'[1]p6'!D144,'[1]p7'!D144,'[1]p8'!D144,'[1]p9'!D144,'[1]p10'!D144,'[1]p11'!D144,'[1]p12'!D144,'[1]p13'!D144,'[1]p14'!D144,'[1]p15'!D144,'[1]p16'!D144,'[1]p17'!D144,'[1]p18'!D144,'[1]p19'!D144,'[1]p20'!D144,'[1]p21'!D144,'[1]p22'!D144,'[1]p23'!D144,'[1]p24'!D144,'[1]p25'!D144)+SUM('[1]p26'!D144,'[1]p27'!D144,'[1]p28'!D144,'[1]p29'!D144,'[1]p30'!D144,'[1]p31'!D144,'[1]p32'!D144,'[1]p33'!D144,'[1]p34'!D144,'[1]p35'!D144,'[1]p36'!D144,'[1]p37'!D144,'[1]p38'!D144,'[1]p39'!D144,'[1]p40'!D144,'[1]p41'!D144,'[1]p42'!D144,'[1]p43'!D144,'[1]p44'!D144,'[1]p45'!D144,'[1]p46'!D144,'[1]p47'!D144,'[1]p48'!D144,'[1]p49'!D144,'[1]p50'!D144)</f>
        <v>185823.86</v>
      </c>
      <c r="K123" s="150">
        <f>SUM('[1]p1'!D151,'[1]p2'!D151,'[1]p3'!D151,'[1]p4'!D151,'[1]p5'!D151,'[1]p6'!D151,'[1]p7'!D151,'[1]p8'!D151,'[1]p9'!D151,'[1]p10'!D151,'[1]p11'!D151,'[1]p12'!D151,'[1]p13'!D151,'[1]p14'!D151,'[1]p15'!D151,'[1]p16'!D151,'[1]p17'!D151,'[1]p18'!D151,'[1]p19'!D151,'[1]p20'!D151,'[1]p21'!D151,'[1]p22'!D151,'[1]p23'!D151,'[1]p24'!D151,'[1]p25'!D151)+SUM('[1]p26'!D151,'[1]p27'!D151,'[1]p28'!D151,'[1]p29'!D151,'[1]p30'!D151,'[1]p31'!D151,'[1]p32'!D151,'[1]p33'!D151,'[1]p34'!D151,'[1]p35'!D151,'[1]p36'!D151,'[1]p37'!D151,'[1]p38'!D151,'[1]p39'!D151,'[1]p40'!D151,'[1]p41'!D151,'[1]p42'!D151,'[1]p43'!D151,'[1]p44'!D151,'[1]p45'!D151,'[1]p46'!D151,'[1]p47'!D151,'[1]p48'!D151,'[1]p49'!D151,'[1]p50'!D151)</f>
        <v>17634</v>
      </c>
      <c r="L123" s="150">
        <f>SUM('[1]p1'!D158,'[1]p2'!D158,'[1]p3'!D158,'[1]p4'!D158,'[1]p5'!D158,'[1]p6'!D158,'[1]p7'!D158,'[1]p8'!D158,'[1]p9'!D158,'[1]p10'!D158,'[1]p11'!D158,'[1]p12'!D158,'[1]p13'!D158,'[1]p14'!D158,'[1]p15'!D158,'[1]p16'!D158,'[1]p17'!D158,'[1]p18'!D158,'[1]p19'!D158,'[1]p20'!D158,'[1]p21'!D158,'[1]p22'!D158,'[1]p23'!D158,'[1]p24'!D158,'[1]p25'!D158)+SUM('[1]p26'!D158,'[1]p27'!D158,'[1]p28'!D158,'[1]p29'!D158,'[1]p30'!D158,'[1]p31'!D158,'[1]p32'!D158,'[1]p33'!D158,'[1]p34'!D158,'[1]p35'!D158,'[1]p36'!D158,'[1]p37'!D158,'[1]p38'!D158,'[1]p39'!D158,'[1]p40'!D158,'[1]p41'!D158,'[1]p42'!D158,'[1]p43'!D158,'[1]p44'!D158,'[1]p45'!D158,'[1]p46'!D158,'[1]p47'!D158,'[1]p48'!D158,'[1]p49'!D158,'[1]p50'!D158)</f>
        <v>73800</v>
      </c>
      <c r="M123" s="150">
        <f>SUM('[1]p1'!D165,'[1]p2'!D165,'[1]p3'!D165,'[1]p4'!D165,'[1]p5'!D165,'[1]p6'!D165,'[1]p7'!D165,'[1]p8'!D165,'[1]p9'!D165,'[1]p10'!D165,'[1]p11'!D165,'[1]p12'!D165,'[1]p13'!D165,'[1]p14'!D165,'[1]p15'!D165,'[1]p16'!D165,'[1]p17'!D165,'[1]p18'!D165,'[1]p19'!D165,'[1]p20'!D165,'[1]p21'!D165,'[1]p22'!D165,'[1]p23'!D165,'[1]p24'!D165,'[1]p25'!D165)+SUM('[1]p26'!D165,'[1]p27'!D165,'[1]p28'!D165,'[1]p29'!D165,'[1]p30'!D165,'[1]p31'!D165,'[1]p32'!D165,'[1]p33'!D165,'[1]p34'!D165,'[1]p35'!D165,'[1]p36'!D165,'[1]p37'!D165,'[1]p38'!D165,'[1]p39'!D165,'[1]p40'!D165,'[1]p41'!D165,'[1]p42'!D165,'[1]p43'!D165,'[1]p44'!D165,'[1]p45'!D165,'[1]p46'!D165,'[1]p47'!D165,'[1]p48'!D165,'[1]p49'!D165,'[1]p50'!D165)</f>
        <v>10000</v>
      </c>
    </row>
    <row r="124" spans="1:13" ht="12.75" customHeight="1">
      <c r="A124" s="211" t="s">
        <v>284</v>
      </c>
      <c r="B124" s="211"/>
      <c r="C124" s="211"/>
      <c r="D124" s="211"/>
      <c r="E124" s="211"/>
      <c r="F124" s="211"/>
      <c r="G124" s="212">
        <f>SUM(J124+K124+L124+M124)</f>
        <v>116411.67</v>
      </c>
      <c r="H124" s="212"/>
      <c r="I124" s="212"/>
      <c r="J124" s="150">
        <f>SUM('[1]p1'!G144,'[1]p2'!G144,'[1]p3'!G144,'[1]p4'!G144,'[1]p5'!G144,'[1]p6'!G144,'[1]p7'!G144,'[1]p8'!G144,'[1]p9'!G144,'[1]p10'!G144,'[1]p11'!G144,'[1]p12'!G144,'[1]p13'!G144,'[1]p14'!G144,'[1]p15'!G144,'[1]p16'!G144,'[1]p17'!G144,'[1]p18'!G144,'[1]p19'!G144,'[1]p20'!G144,'[1]p21'!G144,'[1]p22'!G144,'[1]p23'!G144,'[1]p24'!G144,'[1]p25'!G144)+SUM('[1]p26'!G144,'[1]p27'!G144,'[1]p28'!G144,'[1]p29'!G144,'[1]p30'!G144,'[1]p31'!G144,'[1]p32'!G144,'[1]p33'!G144,'[1]p34'!G144,'[1]p35'!G144,'[1]p36'!G144,'[1]p37'!G144,'[1]p38'!G144,'[1]p39'!G144,'[1]p40'!G144,'[1]p41'!G144,'[1]p42'!G144,'[1]p43'!G144,'[1]p44'!G144,'[1]p45'!G144,'[1]p46'!G144,'[1]p47'!G144,'[1]p48'!G144,'[1]p49'!G144,'[1]p50'!G144)</f>
        <v>87323</v>
      </c>
      <c r="K124" s="150">
        <f>SUM('[1]p1'!G151,'[1]p2'!G151,'[1]p3'!G151,'[1]p4'!G151,'[1]p5'!G151,'[1]p6'!G151,'[1]p7'!G151,'[1]p8'!G151,'[1]p9'!G151,'[1]p10'!G151,'[1]p11'!G151,'[1]p12'!G151,'[1]p13'!G151,'[1]p14'!G151,'[1]p15'!G151,'[1]p16'!G151,'[1]p17'!G151,'[1]p18'!G151,'[1]p19'!G151,'[1]p20'!G151,'[1]p21'!G151,'[1]p22'!G151,'[1]p23'!G151,'[1]p24'!G151,'[1]p25'!G151)+SUM('[1]p26'!G151,'[1]p27'!G151,'[1]p28'!G151,'[1]p29'!G151,'[1]p30'!G151,'[1]p31'!G151,'[1]p32'!G151,'[1]p33'!G151,'[1]p34'!G151,'[1]p35'!G151,'[1]p36'!G151,'[1]p37'!G151,'[1]p38'!G151,'[1]p39'!G151,'[1]p40'!G151,'[1]p41'!G151,'[1]p42'!G151,'[1]p43'!G151,'[1]p44'!G151,'[1]p45'!G151,'[1]p46'!G151,'[1]p47'!G151,'[1]p48'!G151,'[1]p49'!G151,'[1]p50'!G151)</f>
        <v>10334</v>
      </c>
      <c r="L124" s="150">
        <f>SUM('[1]p1'!G158,'[1]p2'!G158,'[1]p3'!G158,'[1]p4'!G158,'[1]p5'!G158,'[1]p6'!G158,'[1]p7'!G158,'[1]p8'!G158,'[1]p9'!G158,'[1]p10'!G158,'[1]p11'!G158,'[1]p12'!G158,'[1]p13'!G158,'[1]p14'!G158,'[1]p15'!G158,'[1]p16'!G158,'[1]p17'!G158,'[1]p18'!G158,'[1]p19'!G158,'[1]p20'!G158,'[1]p21'!G158,'[1]p22'!G158,'[1]p23'!G158,'[1]p24'!G158,'[1]p25'!G158)+SUM('[1]p26'!G158,'[1]p27'!G158,'[1]p28'!G158,'[1]p29'!G158,'[1]p30'!G158,'[1]p31'!G158,'[1]p32'!G158,'[1]p33'!G158,'[1]p34'!G158,'[1]p35'!G158,'[1]p36'!G158,'[1]p37'!G158,'[1]p38'!G158,'[1]p39'!G158,'[1]p40'!G158,'[1]p41'!G158,'[1]p42'!G158,'[1]p43'!G158,'[1]p44'!G158,'[1]p45'!G158,'[1]p46'!G158,'[1]p47'!G158,'[1]p48'!G158,'[1]p49'!G158,'[1]p50'!G158)</f>
        <v>8754.67</v>
      </c>
      <c r="M124" s="150">
        <f>SUM('[1]p1'!G165,'[1]p2'!G165,'[1]p3'!G165,'[1]p4'!G165,'[1]p5'!G165,'[1]p6'!G165,'[1]p7'!G165,'[1]p8'!G165,'[1]p9'!G165,'[1]p10'!G165,'[1]p11'!G165,'[1]p12'!G165,'[1]p13'!G165,'[1]p14'!G165,'[1]p15'!G165,'[1]p16'!G165,'[1]p17'!G165,'[1]p18'!G165,'[1]p19'!G165,'[1]p20'!G165,'[1]p21'!G165,'[1]p22'!G165,'[1]p23'!G165,'[1]p24'!G165,'[1]p25'!G165)+SUM('[1]p26'!G165,'[1]p27'!G165,'[1]p28'!G165,'[1]p29'!G165,'[1]p30'!G165,'[1]p31'!G165,'[1]p32'!G165,'[1]p33'!G165,'[1]p34'!G165,'[1]p35'!G165,'[1]p36'!G165,'[1]p37'!G165,'[1]p38'!G165,'[1]p39'!G165,'[1]p40'!G165,'[1]p41'!G165,'[1]p42'!G165,'[1]p43'!G165,'[1]p44'!G165,'[1]p45'!G165,'[1]p46'!G165,'[1]p47'!G165,'[1]p48'!G165,'[1]p49'!G165,'[1]p50'!G165)</f>
        <v>10000</v>
      </c>
    </row>
    <row r="125" spans="1:13" ht="13.5" customHeight="1" thickBot="1">
      <c r="A125" s="214" t="s">
        <v>285</v>
      </c>
      <c r="B125" s="214"/>
      <c r="C125" s="214"/>
      <c r="D125" s="214"/>
      <c r="E125" s="214"/>
      <c r="F125" s="214"/>
      <c r="G125" s="213">
        <f>SUM(J125+K125+L125+M125)</f>
        <v>170646.19</v>
      </c>
      <c r="H125" s="213"/>
      <c r="I125" s="213"/>
      <c r="J125" s="150">
        <f>SUM('[1]p1'!J144,'[1]p2'!J144,'[1]p3'!J144,'[1]p4'!J144,'[1]p5'!J144,'[1]p6'!J144,'[1]p7'!J144,'[1]p8'!J144,'[1]p9'!J144,'[1]p10'!J144,'[1]p11'!J144,'[1]p12'!J144,'[1]p13'!J144,'[1]p14'!J144,'[1]p15'!J144,'[1]p16'!J144,'[1]p17'!J144,'[1]p18'!J144,'[1]p19'!J144,'[1]p20'!J144,'[1]p21'!J144,'[1]p22'!J144,'[1]p23'!J144,'[1]p24'!J144,'[1]p25'!J144)+SUM('[1]p26'!J144,'[1]p27'!J144,'[1]p28'!J144,'[1]p29'!J144,'[1]p30'!J144,'[1]p31'!J144,'[1]p32'!J144,'[1]p33'!J144,'[1]p34'!J144,'[1]p35'!J144,'[1]p36'!J144,'[1]p37'!J144,'[1]p38'!J144,'[1]p39'!J144,'[1]p40'!J144,'[1]p41'!J144,'[1]p42'!J144,'[1]p43'!J144,'[1]p44'!J144,'[1]p45'!J144,'[1]p46'!J144,'[1]p47'!J144,'[1]p48'!J144,'[1]p49'!J144,'[1]p50'!J144)</f>
        <v>98500.86</v>
      </c>
      <c r="K125" s="150">
        <f>SUM('[1]p1'!J151,'[1]p2'!J151,'[1]p3'!J151,'[1]p4'!J151,'[1]p5'!J151,'[1]p6'!J151,'[1]p7'!J151,'[1]p8'!J151,'[1]p9'!J151,'[1]p10'!J151,'[1]p11'!J151,'[1]p12'!J151,'[1]p13'!J151,'[1]p14'!J151,'[1]p15'!J151,'[1]p16'!J151,'[1]p17'!J151,'[1]p18'!J151,'[1]p19'!J151,'[1]p20'!J151,'[1]p21'!J151,'[1]p22'!J151,'[1]p23'!J151,'[1]p24'!J151,'[1]p25'!J151)+SUM('[1]p26'!J151,'[1]p27'!J151,'[1]p28'!J151,'[1]p29'!J151,'[1]p30'!J151,'[1]p31'!J151,'[1]p32'!J151,'[1]p33'!J151,'[1]p34'!J151,'[1]p35'!J151,'[1]p36'!J151,'[1]p37'!J151,'[1]p38'!J151,'[1]p39'!J151,'[1]p40'!J151,'[1]p41'!J151,'[1]p42'!J151,'[1]p43'!J151,'[1]p44'!J151,'[1]p45'!J151,'[1]p46'!J151,'[1]p47'!J151,'[1]p48'!J151,'[1]p49'!J151,'[1]p50'!J151)</f>
        <v>7300</v>
      </c>
      <c r="L125" s="150">
        <f>SUM('[1]p1'!J158,'[1]p2'!J158,'[1]p3'!J158,'[1]p4'!J158,'[1]p5'!J158,'[1]p6'!J158,'[1]p7'!J158,'[1]p8'!J158,'[1]p9'!J158,'[1]p10'!J158,'[1]p11'!J158,'[1]p12'!J158,'[1]p13'!J158,'[1]p14'!J158,'[1]p15'!J158,'[1]p16'!J158,'[1]p17'!J158,'[1]p18'!J158,'[1]p19'!J158,'[1]p20'!J158,'[1]p21'!J158,'[1]p22'!J158,'[1]p23'!J158,'[1]p24'!J158,'[1]p25'!J158)+SUM('[1]p26'!J158,'[1]p27'!J158,'[1]p28'!J158,'[1]p29'!J158,'[1]p30'!J158,'[1]p31'!J158,'[1]p32'!J158,'[1]p33'!J158,'[1]p34'!J158,'[1]p35'!J158,'[1]p36'!J158,'[1]p37'!J158,'[1]p38'!J158,'[1]p39'!J158,'[1]p40'!J158,'[1]p41'!J158,'[1]p42'!J158,'[1]p43'!J158,'[1]p44'!J158,'[1]p45'!J158,'[1]p46'!J158,'[1]p47'!J158,'[1]p48'!J158,'[1]p49'!J158,'[1]p50'!J158)</f>
        <v>64845.33</v>
      </c>
      <c r="M125" s="150">
        <f>SUM('[1]p1'!J165,'[1]p2'!J165,'[1]p3'!J165,'[1]p4'!J165,'[1]p5'!J165,'[1]p6'!J165,'[1]p7'!J165,'[1]p8'!J165,'[1]p9'!J165,'[1]p10'!J165,'[1]p11'!J165,'[1]p12'!J165,'[1]p13'!J165,'[1]p14'!J165,'[1]p15'!J165,'[1]p16'!J165,'[1]p17'!J165,'[1]p18'!J165,'[1]p19'!J165,'[1]p20'!J165,'[1]p21'!J165,'[1]p22'!J165,'[1]p23'!J165,'[1]p24'!J165,'[1]p25'!J165)+SUM('[1]p26'!J165,'[1]p27'!J165,'[1]p28'!J165,'[1]p29'!J165,'[1]p30'!J165,'[1]p31'!J165,'[1]p32'!J165,'[1]p33'!J165,'[1]p34'!J165,'[1]p35'!J165,'[1]p36'!J165,'[1]p37'!J165,'[1]p38'!J165,'[1]p39'!J165,'[1]p40'!J165,'[1]p41'!J165,'[1]p42'!J165,'[1]p43'!J165,'[1]p44'!J165,'[1]p45'!J165,'[1]p46'!J165,'[1]p47'!J165,'[1]p48'!J165,'[1]p49'!J165,'[1]p50'!J165)</f>
        <v>0</v>
      </c>
    </row>
    <row r="126" spans="1:9" ht="13.5" customHeight="1" thickBot="1">
      <c r="A126" s="254"/>
      <c r="B126" s="254"/>
      <c r="C126" s="254"/>
      <c r="D126" s="254"/>
      <c r="E126" s="254"/>
      <c r="F126" s="254"/>
      <c r="G126" s="254"/>
      <c r="H126" s="254"/>
      <c r="I126" s="254"/>
    </row>
    <row r="127" spans="1:9" ht="13.5" thickBot="1">
      <c r="A127" s="221" t="s">
        <v>224</v>
      </c>
      <c r="B127" s="222"/>
      <c r="C127" s="222"/>
      <c r="D127" s="222"/>
      <c r="E127" s="222"/>
      <c r="F127" s="222"/>
      <c r="G127" s="222"/>
      <c r="H127" s="222"/>
      <c r="I127" s="223"/>
    </row>
    <row r="128" spans="1:9" ht="13.5" thickBot="1">
      <c r="A128" s="224" t="s">
        <v>133</v>
      </c>
      <c r="B128" s="225"/>
      <c r="C128" s="225"/>
      <c r="D128" s="225"/>
      <c r="E128" s="225"/>
      <c r="F128" s="225"/>
      <c r="G128" s="225"/>
      <c r="H128" s="226"/>
      <c r="I128" s="144" t="s">
        <v>107</v>
      </c>
    </row>
    <row r="129" spans="1:9" ht="12.75">
      <c r="A129" s="227" t="s">
        <v>59</v>
      </c>
      <c r="B129" s="228"/>
      <c r="C129" s="228"/>
      <c r="D129" s="228"/>
      <c r="E129" s="228"/>
      <c r="F129" s="228"/>
      <c r="G129" s="228"/>
      <c r="H129" s="229"/>
      <c r="I129" s="109">
        <v>3</v>
      </c>
    </row>
    <row r="130" spans="1:9" ht="12.75">
      <c r="A130" s="353" t="s">
        <v>55</v>
      </c>
      <c r="B130" s="346"/>
      <c r="C130" s="346"/>
      <c r="D130" s="346"/>
      <c r="E130" s="346"/>
      <c r="F130" s="346"/>
      <c r="G130" s="346"/>
      <c r="H130" s="354"/>
      <c r="I130" s="110">
        <v>1</v>
      </c>
    </row>
    <row r="131" spans="1:9" ht="12.75">
      <c r="A131" s="353" t="s">
        <v>60</v>
      </c>
      <c r="B131" s="346"/>
      <c r="C131" s="346"/>
      <c r="D131" s="346"/>
      <c r="E131" s="346"/>
      <c r="F131" s="346"/>
      <c r="G131" s="346"/>
      <c r="H131" s="354"/>
      <c r="I131" s="110">
        <v>8</v>
      </c>
    </row>
    <row r="132" spans="1:9" ht="12.75">
      <c r="A132" s="353" t="s">
        <v>61</v>
      </c>
      <c r="B132" s="346"/>
      <c r="C132" s="346"/>
      <c r="D132" s="346"/>
      <c r="E132" s="346"/>
      <c r="F132" s="346"/>
      <c r="G132" s="346"/>
      <c r="H132" s="354"/>
      <c r="I132" s="110">
        <v>2</v>
      </c>
    </row>
    <row r="133" spans="1:9" ht="12.75">
      <c r="A133" s="353" t="s">
        <v>62</v>
      </c>
      <c r="B133" s="346"/>
      <c r="C133" s="346"/>
      <c r="D133" s="346"/>
      <c r="E133" s="346"/>
      <c r="F133" s="346"/>
      <c r="G133" s="346"/>
      <c r="H133" s="354"/>
      <c r="I133" s="110">
        <v>8</v>
      </c>
    </row>
    <row r="134" spans="1:9" ht="12.75" customHeight="1" thickBot="1">
      <c r="A134" s="240" t="s">
        <v>63</v>
      </c>
      <c r="B134" s="241"/>
      <c r="C134" s="241"/>
      <c r="D134" s="241"/>
      <c r="E134" s="241"/>
      <c r="F134" s="241"/>
      <c r="G134" s="241"/>
      <c r="H134" s="242"/>
      <c r="I134" s="147">
        <v>378500</v>
      </c>
    </row>
    <row r="135" spans="1:9" ht="13.5" thickBot="1">
      <c r="A135" s="221" t="s">
        <v>286</v>
      </c>
      <c r="B135" s="222"/>
      <c r="C135" s="222"/>
      <c r="D135" s="222"/>
      <c r="E135" s="222"/>
      <c r="F135" s="222"/>
      <c r="G135" s="222"/>
      <c r="H135" s="222"/>
      <c r="I135" s="223"/>
    </row>
    <row r="136" spans="1:13" ht="12.75" customHeight="1">
      <c r="A136" s="355" t="s">
        <v>283</v>
      </c>
      <c r="B136" s="355"/>
      <c r="C136" s="355"/>
      <c r="D136" s="355"/>
      <c r="E136" s="355"/>
      <c r="F136" s="355"/>
      <c r="G136" s="356">
        <f>SUM(J136+K136+L136)</f>
        <v>26000</v>
      </c>
      <c r="H136" s="356"/>
      <c r="I136" s="356"/>
      <c r="J136" s="150">
        <f>SUM('[1]p1'!A177,'[1]p2'!A177,'[1]p3'!A177,'[1]p4'!A177,'[1]p5'!A177,'[1]p6'!A177,'[1]p7'!A177,'[1]p8'!A177,'[1]p9'!A177,'[1]p10'!A177,'[1]p11'!A177,'[1]p12'!A177,'[1]p13'!A177,'[1]p14'!A177,'[1]p15'!A177,'[1]p16'!A177,'[1]p17'!A177,'[1]p18'!A177,'[1]p19'!A177,'[1]p20'!A177,'[1]p21'!A177,'[1]p22'!A177,'[1]p23'!A177,'[1]p24'!A177,'[1]p25'!A177)+SUM('[1]p26'!A177,'[1]p27'!A177,'[1]p28'!A177,'[1]p29'!A177,'[1]p30'!A177,'[1]p31'!A177,'[1]p32'!A177,'[1]p33'!A177,'[1]p34'!A177,'[1]p35'!A177,'[1]p36'!A177,'[1]p37'!A177,'[1]p38'!A177,'[1]p39'!A177,'[1]p40'!A177,'[1]p41'!A177,'[1]p42'!A177,'[1]p43'!A177,'[1]p44'!A177,'[1]p45'!A177,'[1]p46'!A177,'[1]p47'!A177,'[1]p48'!A177,'[1]p49'!A177,'[1]p50'!A177)</f>
        <v>6000</v>
      </c>
      <c r="K136" s="150">
        <f>SUM('[1]p1'!A186,'[1]p2'!A186,'[1]p3'!A186,'[1]p4'!A186,'[1]p5'!A186,'[1]p6'!A186,'[1]p7'!A186,'[1]p8'!A186,'[1]p9'!A186,'[1]p10'!A186,'[1]p11'!A186,'[1]p12'!A186,'[1]p13'!A186,'[1]p14'!A186,'[1]p15'!A186,'[1]p16'!A186,'[1]p17'!A186,'[1]p18'!A186,'[1]p19'!A186,'[1]p20'!A186,'[1]p21'!A186,'[1]p22'!A186,'[1]p23'!A186,'[1]p24'!A186,'[1]p25'!A186)+SUM('[1]p26'!A186,'[1]p27'!A186,'[1]p28'!A186,'[1]p29'!A186,'[1]p30'!A186,'[1]p31'!A186,'[1]p32'!A186,'[1]p33'!A186,'[1]p34'!A186,'[1]p35'!A186,'[1]p36'!A186,'[1]p37'!A186,'[1]p38'!A186,'[1]p39'!A186,'[1]p40'!A186,'[1]p41'!A186,'[1]p42'!A186,'[1]p43'!A186,'[1]p44'!A186,'[1]p45'!A186,'[1]p46'!A186,'[1]p47'!A186,'[1]p48'!A186,'[1]p49'!A186,'[1]p50'!A186)</f>
        <v>20000</v>
      </c>
      <c r="L136" s="150">
        <f>SUM('[1]p1'!A195,'[1]p2'!A195,'[1]p3'!A195,'[1]p4'!A195,'[1]p5'!A195,'[1]p6'!A195,'[1]p7'!A195,'[1]p8'!A195,'[1]p9'!A195,'[1]p10'!A195,'[1]p11'!A195,'[1]p12'!A195,'[1]p13'!A195,'[1]p14'!A195,'[1]p15'!A195,'[1]p16'!A195,'[1]p17'!A195,'[1]p18'!A195,'[1]p19'!A195,'[1]p20'!A195,'[1]p21'!A195,'[1]p22'!A195,'[1]p23'!A195,'[1]p24'!A195,'[1]p25'!A195)+SUM('[1]p26'!A195,'[1]p27'!A195,'[1]p28'!A195,'[1]p29'!A195,'[1]p30'!A195,'[1]p31'!A195,'[1]p32'!A195,'[1]p33'!A195,'[1]p34'!A195,'[1]p35'!A195,'[1]p36'!A195,'[1]p37'!A195,'[1]p38'!A195,'[1]p39'!A195,'[1]p40'!A195,'[1]p41'!A195,'[1]p42'!A195,'[1]p43'!A195,'[1]p44'!A195,'[1]p45'!A195,'[1]p46'!A195,'[1]p47'!A195,'[1]p48'!A195,'[1]p49'!A195,'[1]p50'!A195)</f>
        <v>0</v>
      </c>
      <c r="M136" s="150"/>
    </row>
    <row r="137" spans="1:13" ht="12.75" customHeight="1">
      <c r="A137" s="211" t="s">
        <v>287</v>
      </c>
      <c r="B137" s="211"/>
      <c r="C137" s="211"/>
      <c r="D137" s="211"/>
      <c r="E137" s="211"/>
      <c r="F137" s="211"/>
      <c r="G137" s="212">
        <f>SUM(J137+K137+L137)</f>
        <v>14000</v>
      </c>
      <c r="H137" s="212"/>
      <c r="I137" s="212"/>
      <c r="J137" s="150">
        <f>SUM('[1]p1'!D177,'[1]p2'!D177,'[1]p3'!D177,'[1]p4'!D177,'[1]p5'!D177,'[1]p6'!D177,'[1]p7'!D177,'[1]p8'!D177,'[1]p9'!D177,'[1]p10'!D177,'[1]p11'!D177,'[1]p12'!D177,'[1]p13'!D177,'[1]p14'!D177,'[1]p15'!D177,'[1]p16'!D177,'[1]p17'!D177,'[1]p18'!D177,'[1]p19'!D177,'[1]p20'!D177,'[1]p21'!D177,'[1]p22'!D177,'[1]p23'!D177,'[1]p24'!D177,'[1]p25'!D177)+SUM('[1]p26'!D177,'[1]p27'!D177,'[1]p28'!D177,'[1]p29'!D177,'[1]p30'!D177,'[1]p31'!D177,'[1]p32'!D177,'[1]p33'!D177,'[1]p34'!D177,'[1]p35'!D177,'[1]p36'!D177,'[1]p37'!D177,'[1]p38'!D177,'[1]p39'!D177,'[1]p40'!D177,'[1]p41'!D177,'[1]p42'!D177,'[1]p43'!D177,'[1]p44'!D177,'[1]p45'!D177,'[1]p46'!D177,'[1]p47'!D177,'[1]p48'!D177,'[1]p49'!D177,'[1]p50'!D177)</f>
        <v>6000</v>
      </c>
      <c r="K137" s="150">
        <f>SUM('[1]p1'!D186,'[1]p2'!D186,'[1]p3'!D186,'[1]p4'!D186,'[1]p5'!D186,'[1]p6'!D186,'[1]p7'!D186,'[1]p8'!D186,'[1]p9'!D186,'[1]p10'!D186,'[1]p11'!D186,'[1]p12'!D186,'[1]p13'!D186,'[1]p14'!D186,'[1]p15'!D186,'[1]p16'!D186,'[1]p17'!D186,'[1]p18'!D186,'[1]p19'!D186,'[1]p20'!D186,'[1]p21'!D186,'[1]p22'!D186,'[1]p23'!D186,'[1]p24'!D186,'[1]p25'!D186)+SUM('[1]p26'!D186,'[1]p27'!D186,'[1]p28'!D186,'[1]p29'!D186,'[1]p30'!D186,'[1]p31'!D186,'[1]p32'!D186,'[1]p33'!D186,'[1]p34'!D186,'[1]p35'!D186,'[1]p36'!D186,'[1]p37'!D186,'[1]p38'!D186,'[1]p39'!D186,'[1]p40'!D186,'[1]p41'!D186,'[1]p42'!D186,'[1]p43'!D186,'[1]p44'!D186,'[1]p45'!D186,'[1]p46'!D186,'[1]p47'!D186,'[1]p48'!D186,'[1]p49'!D186,'[1]p50'!D186)</f>
        <v>8000</v>
      </c>
      <c r="L137" s="150">
        <f>SUM('[1]p1'!D195,'[1]p2'!D195,'[1]p3'!D195,'[1]p4'!D195,'[1]p5'!D195,'[1]p6'!D195,'[1]p7'!D195,'[1]p8'!D195,'[1]p9'!D195,'[1]p10'!D195,'[1]p11'!D195,'[1]p12'!D195,'[1]p13'!D195,'[1]p14'!D195,'[1]p15'!D195,'[1]p16'!D195,'[1]p17'!D195,'[1]p18'!D195,'[1]p19'!D195,'[1]p20'!D195,'[1]p21'!D195,'[1]p22'!D195,'[1]p23'!D195,'[1]p24'!D195,'[1]p25'!D195)+SUM('[1]p26'!D195,'[1]p27'!D195,'[1]p28'!D195,'[1]p29'!D195,'[1]p30'!D195,'[1]p31'!D195,'[1]p32'!D195,'[1]p33'!D195,'[1]p34'!D195,'[1]p35'!D195,'[1]p36'!D195,'[1]p37'!D195,'[1]p38'!D195,'[1]p39'!D195,'[1]p40'!D195,'[1]p41'!D195,'[1]p42'!D195,'[1]p43'!D195,'[1]p44'!D195,'[1]p45'!D195,'[1]p46'!D195,'[1]p47'!D195,'[1]p48'!D195,'[1]p49'!D195,'[1]p50'!D195)</f>
        <v>0</v>
      </c>
      <c r="M137" s="150"/>
    </row>
    <row r="138" spans="1:13" ht="12.75" customHeight="1">
      <c r="A138" s="211" t="s">
        <v>284</v>
      </c>
      <c r="B138" s="211"/>
      <c r="C138" s="211"/>
      <c r="D138" s="211"/>
      <c r="E138" s="211"/>
      <c r="F138" s="211"/>
      <c r="G138" s="212">
        <f>SUM(J138+K138+L138)</f>
        <v>14000</v>
      </c>
      <c r="H138" s="212"/>
      <c r="I138" s="212"/>
      <c r="J138" s="150">
        <f>SUM('[1]p1'!G177,'[1]p2'!G177,'[1]p3'!G177,'[1]p4'!G177,'[1]p5'!G177,'[1]p6'!G177,'[1]p7'!G177,'[1]p8'!G177,'[1]p9'!G177,'[1]p10'!G177,'[1]p11'!G177,'[1]p12'!G177,'[1]p13'!G177,'[1]p14'!G177,'[1]p15'!G177,'[1]p16'!G177,'[1]p17'!G177,'[1]p18'!G177,'[1]p19'!G177,'[1]p20'!G177,'[1]p21'!G177,'[1]p22'!G177,'[1]p23'!G177,'[1]p24'!G177,'[1]p25'!G177)+SUM('[1]p26'!G177,'[1]p27'!G177,'[1]p28'!G177,'[1]p29'!G177,'[1]p30'!G177,'[1]p31'!G177,'[1]p32'!G177,'[1]p33'!G177,'[1]p34'!G177,'[1]p35'!G177,'[1]p36'!G177,'[1]p37'!G177,'[1]p38'!G177,'[1]p39'!G177,'[1]p40'!G177,'[1]p41'!G177,'[1]p42'!G177,'[1]p43'!G177,'[1]p44'!G177,'[1]p45'!G177,'[1]p46'!G177,'[1]p47'!G177,'[1]p48'!G177,'[1]p49'!G177,'[1]p50'!G177)</f>
        <v>6000</v>
      </c>
      <c r="K138" s="150">
        <f>SUM('[1]p1'!G186,'[1]p2'!G186,'[1]p3'!G186,'[1]p4'!G186,'[1]p5'!G186,'[1]p6'!G186,'[1]p7'!G186,'[1]p8'!G186,'[1]p9'!G186,'[1]p10'!G186,'[1]p11'!G186,'[1]p12'!G186,'[1]p13'!G186,'[1]p14'!G186,'[1]p15'!G186,'[1]p16'!G186,'[1]p17'!G186,'[1]p18'!G186,'[1]p19'!G186,'[1]p20'!G186,'[1]p21'!G186,'[1]p22'!G186,'[1]p23'!G186,'[1]p24'!G186,'[1]p25'!G186)+SUM('[1]p26'!G186,'[1]p27'!G186,'[1]p28'!G186,'[1]p29'!G186,'[1]p30'!G186,'[1]p31'!G186,'[1]p32'!G186,'[1]p33'!G186,'[1]p34'!G186,'[1]p35'!G186,'[1]p36'!G186,'[1]p37'!G186,'[1]p38'!G186,'[1]p39'!G186,'[1]p40'!G186,'[1]p41'!G186,'[1]p42'!G186,'[1]p43'!G186,'[1]p44'!G186,'[1]p45'!G186,'[1]p46'!G186,'[1]p47'!G186,'[1]p48'!G186,'[1]p49'!G186,'[1]p50'!G186)</f>
        <v>8000</v>
      </c>
      <c r="L138" s="150">
        <f>SUM('[1]p1'!G195,'[1]p2'!G195,'[1]p3'!G195,'[1]p4'!G195,'[1]p5'!G195,'[1]p6'!G195,'[1]p7'!G195,'[1]p8'!G195,'[1]p9'!G195,'[1]p10'!G195,'[1]p11'!G195,'[1]p12'!G195,'[1]p13'!G195,'[1]p14'!G195,'[1]p15'!G195,'[1]p16'!G195,'[1]p17'!G195,'[1]p18'!G195,'[1]p19'!G195,'[1]p20'!G195,'[1]p21'!G195,'[1]p22'!G195,'[1]p23'!G195,'[1]p24'!G195,'[1]p25'!G195)+SUM('[1]p26'!G195,'[1]p27'!G195,'[1]p28'!G195,'[1]p29'!G195,'[1]p30'!G195,'[1]p31'!G195,'[1]p32'!G195,'[1]p33'!G195,'[1]p34'!G195,'[1]p35'!G195,'[1]p36'!G195,'[1]p37'!G195,'[1]p38'!G195,'[1]p39'!G195,'[1]p40'!G195,'[1]p41'!G195,'[1]p42'!G195,'[1]p43'!G195,'[1]p44'!G195,'[1]p45'!G195,'[1]p46'!G195,'[1]p47'!G195,'[1]p48'!G195,'[1]p49'!G195,'[1]p50'!G195)</f>
        <v>0</v>
      </c>
      <c r="M138" s="150"/>
    </row>
    <row r="139" spans="1:13" ht="13.5" customHeight="1" thickBot="1">
      <c r="A139" s="214" t="s">
        <v>285</v>
      </c>
      <c r="B139" s="214"/>
      <c r="C139" s="214"/>
      <c r="D139" s="214"/>
      <c r="E139" s="214"/>
      <c r="F139" s="214"/>
      <c r="G139" s="213">
        <f>SUM(J139+K139+L139)</f>
        <v>12000</v>
      </c>
      <c r="H139" s="213"/>
      <c r="I139" s="213"/>
      <c r="J139" s="150">
        <f>SUM('[1]p1'!J177,'[1]p2'!J177,'[1]p3'!J177,'[1]p4'!J177,'[1]p5'!J177,'[1]p6'!J177,'[1]p7'!J177,'[1]p8'!J177,'[1]p9'!J177,'[1]p10'!J177,'[1]p11'!J177,'[1]p12'!J177,'[1]p13'!J177,'[1]p14'!J177,'[1]p15'!J177,'[1]p16'!J177,'[1]p17'!J177,'[1]p18'!J177,'[1]p19'!J177,'[1]p20'!J177,'[1]p21'!J177,'[1]p22'!J177,'[1]p23'!J177,'[1]p24'!J177,'[1]p25'!J177)+SUM('[1]p26'!J177,'[1]p27'!J177,'[1]p28'!J177,'[1]p29'!J177,'[1]p30'!J177,'[1]p31'!J177,'[1]p32'!J177,'[1]p33'!J177,'[1]p34'!J177,'[1]p35'!J177,'[1]p36'!J177,'[1]p37'!J177,'[1]p38'!J177,'[1]p39'!J177,'[1]p40'!J177,'[1]p41'!J177,'[1]p42'!J177,'[1]p43'!J177,'[1]p44'!J177,'[1]p45'!J177,'[1]p46'!J177,'[1]p47'!J177,'[1]p48'!J177,'[1]p49'!J177,'[1]p50'!J177)</f>
        <v>0</v>
      </c>
      <c r="K139" s="150">
        <f>SUM('[1]p1'!J186,'[1]p2'!J186,'[1]p3'!J186,'[1]p4'!J186,'[1]p5'!J186,'[1]p6'!J186,'[1]p7'!J186,'[1]p8'!J186,'[1]p9'!J186,'[1]p10'!J186,'[1]p11'!J186,'[1]p12'!J186,'[1]p13'!J186,'[1]p14'!J186,'[1]p15'!J186,'[1]p16'!J186,'[1]p17'!J186,'[1]p18'!J186,'[1]p19'!J186,'[1]p20'!J186,'[1]p21'!J186,'[1]p22'!J186,'[1]p23'!J186,'[1]p24'!J186,'[1]p25'!J186)+SUM('[1]p26'!J186,'[1]p27'!J186,'[1]p28'!J186,'[1]p29'!J186,'[1]p30'!J186,'[1]p31'!J186,'[1]p32'!J186,'[1]p33'!J186,'[1]p34'!J186,'[1]p35'!J186,'[1]p36'!J186,'[1]p37'!J186,'[1]p38'!J186,'[1]p39'!J186,'[1]p40'!J186,'[1]p41'!J186,'[1]p42'!J186,'[1]p43'!J186,'[1]p44'!J186,'[1]p45'!J186,'[1]p46'!J186,'[1]p47'!J186,'[1]p48'!J186,'[1]p49'!J186,'[1]p50'!J186)</f>
        <v>12000</v>
      </c>
      <c r="L139" s="150">
        <f>SUM('[1]p1'!J195,'[1]p2'!J195,'[1]p3'!J195,'[1]p4'!J195,'[1]p5'!J195,'[1]p6'!J195,'[1]p7'!J195,'[1]p8'!J195,'[1]p9'!J195,'[1]p10'!J195,'[1]p11'!J195,'[1]p12'!J195,'[1]p13'!J195,'[1]p14'!J195,'[1]p15'!J195,'[1]p16'!J195,'[1]p17'!J195,'[1]p18'!J195,'[1]p19'!J195,'[1]p20'!J195,'[1]p21'!J195,'[1]p22'!J195,'[1]p23'!J195,'[1]p24'!J195,'[1]p25'!J195)+SUM('[1]p26'!J195,'[1]p27'!J195,'[1]p28'!J195,'[1]p29'!J195,'[1]p30'!J195,'[1]p31'!J195,'[1]p32'!J195,'[1]p33'!J195,'[1]p34'!J195,'[1]p35'!J195,'[1]p36'!J195,'[1]p37'!J195,'[1]p38'!J195,'[1]p39'!J195,'[1]p40'!J195,'[1]p41'!J195,'[1]p42'!J195,'[1]p43'!J195,'[1]p44'!J195,'[1]p45'!J195,'[1]p46'!J195,'[1]p47'!J195,'[1]p48'!J195,'[1]p49'!J195,'[1]p50'!J195)</f>
        <v>0</v>
      </c>
      <c r="M139" s="150"/>
    </row>
    <row r="140" spans="1:13" ht="13.5" customHeight="1" thickBot="1">
      <c r="A140" s="361"/>
      <c r="B140" s="361"/>
      <c r="C140" s="361"/>
      <c r="D140" s="361"/>
      <c r="E140" s="361"/>
      <c r="F140" s="361"/>
      <c r="G140" s="361"/>
      <c r="H140" s="361"/>
      <c r="I140" s="361"/>
      <c r="J140" s="150"/>
      <c r="K140" s="150"/>
      <c r="L140" s="150"/>
      <c r="M140" s="150"/>
    </row>
    <row r="141" spans="1:9" ht="13.5" thickBot="1">
      <c r="A141" s="221" t="s">
        <v>225</v>
      </c>
      <c r="B141" s="222"/>
      <c r="C141" s="222"/>
      <c r="D141" s="222"/>
      <c r="E141" s="222"/>
      <c r="F141" s="222"/>
      <c r="G141" s="222"/>
      <c r="H141" s="222"/>
      <c r="I141" s="223"/>
    </row>
    <row r="142" spans="1:9" ht="13.5" thickBot="1">
      <c r="A142" s="237" t="s">
        <v>133</v>
      </c>
      <c r="B142" s="238"/>
      <c r="C142" s="238"/>
      <c r="D142" s="238"/>
      <c r="E142" s="238"/>
      <c r="F142" s="238"/>
      <c r="G142" s="238"/>
      <c r="H142" s="239"/>
      <c r="I142" s="145" t="s">
        <v>107</v>
      </c>
    </row>
    <row r="143" spans="1:9" ht="12.75">
      <c r="A143" s="345" t="s">
        <v>296</v>
      </c>
      <c r="B143" s="346"/>
      <c r="C143" s="346"/>
      <c r="D143" s="346"/>
      <c r="E143" s="346"/>
      <c r="F143" s="346"/>
      <c r="G143" s="346"/>
      <c r="H143" s="347"/>
      <c r="I143" s="151">
        <v>1</v>
      </c>
    </row>
    <row r="144" spans="1:9" ht="12.75">
      <c r="A144" s="345" t="s">
        <v>147</v>
      </c>
      <c r="B144" s="346"/>
      <c r="C144" s="346"/>
      <c r="D144" s="346"/>
      <c r="E144" s="346"/>
      <c r="F144" s="346"/>
      <c r="G144" s="346"/>
      <c r="H144" s="347"/>
      <c r="I144" s="151">
        <v>5</v>
      </c>
    </row>
    <row r="145" spans="1:9" ht="12.75">
      <c r="A145" s="345" t="s">
        <v>207</v>
      </c>
      <c r="B145" s="346"/>
      <c r="C145" s="346"/>
      <c r="D145" s="346"/>
      <c r="E145" s="346"/>
      <c r="F145" s="346"/>
      <c r="G145" s="346"/>
      <c r="H145" s="347"/>
      <c r="I145" s="151">
        <v>1</v>
      </c>
    </row>
    <row r="146" spans="1:9" ht="12.75">
      <c r="A146" s="345" t="s">
        <v>293</v>
      </c>
      <c r="B146" s="346"/>
      <c r="C146" s="346"/>
      <c r="D146" s="346"/>
      <c r="E146" s="346"/>
      <c r="F146" s="346"/>
      <c r="G146" s="346"/>
      <c r="H146" s="347"/>
      <c r="I146" s="151">
        <v>8</v>
      </c>
    </row>
    <row r="147" spans="1:9" ht="12.75">
      <c r="A147" s="345" t="s">
        <v>292</v>
      </c>
      <c r="B147" s="346"/>
      <c r="C147" s="346"/>
      <c r="D147" s="346"/>
      <c r="E147" s="346"/>
      <c r="F147" s="346"/>
      <c r="G147" s="346"/>
      <c r="H147" s="347"/>
      <c r="I147" s="151">
        <v>3</v>
      </c>
    </row>
    <row r="148" spans="1:9" ht="12.75">
      <c r="A148" s="345" t="s">
        <v>294</v>
      </c>
      <c r="B148" s="346"/>
      <c r="C148" s="346"/>
      <c r="D148" s="346"/>
      <c r="E148" s="346"/>
      <c r="F148" s="346"/>
      <c r="G148" s="346"/>
      <c r="H148" s="347"/>
      <c r="I148" s="151">
        <v>9</v>
      </c>
    </row>
    <row r="149" spans="1:9" ht="12.75">
      <c r="A149" s="345" t="s">
        <v>295</v>
      </c>
      <c r="B149" s="346"/>
      <c r="C149" s="346"/>
      <c r="D149" s="346"/>
      <c r="E149" s="346"/>
      <c r="F149" s="346"/>
      <c r="G149" s="346"/>
      <c r="H149" s="347"/>
      <c r="I149" s="151">
        <v>3</v>
      </c>
    </row>
    <row r="150" spans="1:9" ht="13.5" thickBot="1">
      <c r="A150" s="166"/>
      <c r="B150" s="166"/>
      <c r="C150" s="166"/>
      <c r="D150" s="166"/>
      <c r="E150" s="166"/>
      <c r="F150" s="166"/>
      <c r="G150" s="166"/>
      <c r="H150" s="166"/>
      <c r="I150" s="167"/>
    </row>
    <row r="151" spans="1:9" ht="14.25" thickBot="1" thickTop="1">
      <c r="A151" s="342" t="s">
        <v>226</v>
      </c>
      <c r="B151" s="343"/>
      <c r="C151" s="343"/>
      <c r="D151" s="343"/>
      <c r="E151" s="343"/>
      <c r="F151" s="343"/>
      <c r="G151" s="343"/>
      <c r="H151" s="343"/>
      <c r="I151" s="344"/>
    </row>
    <row r="152" spans="1:9" ht="14.25" thickBot="1" thickTop="1">
      <c r="A152" s="185" t="s">
        <v>133</v>
      </c>
      <c r="B152" s="185"/>
      <c r="C152" s="185"/>
      <c r="D152" s="141" t="s">
        <v>15</v>
      </c>
      <c r="E152" s="186" t="s">
        <v>10</v>
      </c>
      <c r="F152" s="186"/>
      <c r="G152" s="186" t="s">
        <v>9</v>
      </c>
      <c r="H152" s="186"/>
      <c r="I152" s="186"/>
    </row>
    <row r="153" spans="1:9" ht="13.5" customHeight="1">
      <c r="A153" s="177" t="s">
        <v>81</v>
      </c>
      <c r="B153" s="178"/>
      <c r="C153" s="179"/>
      <c r="D153" s="81">
        <f>SUM('[1]p1'!L21,'[1]p2'!L21,'[1]p3'!L21,'[1]p4'!L21,'[1]p5'!L21,'[1]p6'!L21,'[1]p7'!L21,'[1]p8'!L21,'[1]p9'!L21,'[1]p10'!L21,'[1]p11'!L21,'[1]p12'!L21,'[1]p13'!L21,'[1]p14'!L21,'[1]p15'!L21,'[1]p16'!L21,'[1]p17'!L21,'[1]p18'!L21,'[1]p19'!L21,'[1]p20'!L21,'[1]p21'!L21,'[1]p22'!L21,'[1]p23'!L21,'[1]p24'!L21,'[1]p25'!L21)+SUM('[1]p26'!L21,'[1]p27'!L21,'[1]p28'!L21,'[1]p29'!L21,'[1]p30'!L21,'[1]p31'!L21,'[1]p32'!L21,'[1]p33'!L21,'[1]p34'!L21,'[1]p35'!L21,'[1]p36'!L21,'[1]p37'!L21,'[1]p38'!L21,'[1]p39'!L21,'[1]p40'!L21,'[1]p41'!L21,'[1]p42'!L21,'[1]p43'!L21,'[1]p44'!L21,'[1]p45'!L21,'[1]p46'!L21,'[1]p47'!L21,'[1]p48'!L21,'[1]p49'!L21,'[1]p50'!L21)</f>
        <v>3080</v>
      </c>
      <c r="E153" s="180">
        <f>IF(D170&lt;&gt;0,D153/D170,"CHTotal-0")</f>
        <v>0.10227801022780102</v>
      </c>
      <c r="F153" s="181"/>
      <c r="G153" s="182" t="s">
        <v>8</v>
      </c>
      <c r="H153" s="235"/>
      <c r="I153" s="236"/>
    </row>
    <row r="154" spans="1:9" ht="13.5" customHeight="1" thickBot="1">
      <c r="A154" s="194" t="s">
        <v>149</v>
      </c>
      <c r="B154" s="195"/>
      <c r="C154" s="196"/>
      <c r="D154" s="82">
        <f>SUM('[1]p1'!L32,'[1]p2'!L32,'[1]p3'!L32,'[1]p4'!L32,'[1]p5'!L32,'[1]p6'!L32,'[1]p7'!L32,'[1]p8'!L32,'[1]p9'!L32,'[1]p10'!L32,'[1]p11'!L32,'[1]p12'!L32,'[1]p13'!L32,'[1]p14'!L32,'[1]p15'!L32,'[1]p16'!L32,'[1]p17'!L32,'[1]p18'!L32,'[1]p19'!L32,'[1]p20'!L32,'[1]p21'!L32,'[1]p22'!L32,'[1]p23'!L32,'[1]p24'!L32,'[1]p25'!L32)+SUM('[1]p26'!L32,'[1]p27'!L32,'[1]p28'!L32,'[1]p29'!L32,'[1]p30'!L32,'[1]p31'!L32,'[1]p32'!L32,'[1]p33'!L32,'[1]p34'!L32,'[1]p35'!L32,'[1]p36'!L32,'[1]p37'!L32,'[1]p38'!L32,'[1]p39'!L32,'[1]p40'!L32,'[1]p41'!L32,'[1]p42'!L32,'[1]p43'!L32,'[1]p44'!L32,'[1]p45'!L32,'[1]p46'!L32,'[1]p47'!L32,'[1]p48'!L32,'[1]p49'!L32,'[1]p50'!L32)</f>
        <v>120</v>
      </c>
      <c r="E154" s="197">
        <f>IF(D170&lt;&gt;0,D154/D170,"CHTotal-0")</f>
        <v>0.003984857541342897</v>
      </c>
      <c r="F154" s="192"/>
      <c r="G154" s="193">
        <f>D170-D153-D154</f>
        <v>26914</v>
      </c>
      <c r="H154" s="183"/>
      <c r="I154" s="184"/>
    </row>
    <row r="155" spans="1:9" ht="12.75" customHeight="1">
      <c r="A155" s="194" t="s">
        <v>152</v>
      </c>
      <c r="B155" s="195"/>
      <c r="C155" s="196"/>
      <c r="D155" s="83">
        <f>SUM('[1]p1'!L51,'[1]p2'!L51,'[1]p3'!L51,'[1]p4'!L51,'[1]p5'!L51,'[1]p6'!L51,'[1]p7'!L51,'[1]p8'!L51,'[1]p9'!L51,'[1]p10'!L51,'[1]p11'!L51,'[1]p12'!L51,'[1]p13'!L51,'[1]p14'!L51,'[1]p15'!L51,'[1]p16'!L51,'[1]p17'!L51,'[1]p18'!L51,'[1]p19'!L51,'[1]p20'!L51,'[1]p21'!L51,'[1]p22'!L51,'[1]p23'!L51,'[1]p24'!L51,'[1]p25'!L51)+SUM('[1]p26'!L51,'[1]p27'!L51,'[1]p28'!L51,'[1]p29'!L51,'[1]p30'!L51,'[1]p31'!L51,'[1]p32'!L51,'[1]p33'!L51,'[1]p34'!L51,'[1]p35'!L51,'[1]p36'!L51,'[1]p37'!L51,'[1]p38'!L51,'[1]p39'!L51,'[1]p40'!L51,'[1]p41'!L51,'[1]p42'!L51,'[1]p43'!L51,'[1]p44'!L51,'[1]p45'!L51,'[1]p46'!L51,'[1]p47'!L51,'[1]p48'!L51,'[1]p49'!L51,'[1]p50'!L51)</f>
        <v>1314</v>
      </c>
      <c r="E155" s="197">
        <f>IF(D170&lt;&gt;0,D155/D170,"CHTotal-0")</f>
        <v>0.04363419007770472</v>
      </c>
      <c r="F155" s="198"/>
      <c r="G155" s="189">
        <f>IF(G154&lt;&gt;0,D155/G154,"CHDisponivel-0")</f>
        <v>0.04882217433306086</v>
      </c>
      <c r="H155" s="190"/>
      <c r="I155" s="191"/>
    </row>
    <row r="156" spans="1:9" ht="12.75" customHeight="1">
      <c r="A156" s="194" t="s">
        <v>0</v>
      </c>
      <c r="B156" s="195"/>
      <c r="C156" s="196"/>
      <c r="D156" s="8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5741</v>
      </c>
      <c r="E156" s="197">
        <f>IF(D170&lt;&gt;0,D156/D170,"CHTotal-0")</f>
        <v>0.19064222620707977</v>
      </c>
      <c r="F156" s="198"/>
      <c r="G156" s="199">
        <f>IF(G154&lt;&gt;0,D156/G154,"CHDisponivel-0")</f>
        <v>0.21330905848257412</v>
      </c>
      <c r="H156" s="187"/>
      <c r="I156" s="188"/>
    </row>
    <row r="157" spans="1:9" ht="12.75" customHeight="1">
      <c r="A157" s="194" t="s">
        <v>204</v>
      </c>
      <c r="B157" s="195"/>
      <c r="C157" s="196"/>
      <c r="D157" s="82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8867</v>
      </c>
      <c r="E157" s="197">
        <f>IF(D170&lt;&gt;0,D157/D170,"CHTotal-0")</f>
        <v>0.29444776515906224</v>
      </c>
      <c r="F157" s="198"/>
      <c r="G157" s="199">
        <f>IF(G154&lt;&gt;0,D157/G154,"CHDisponivel-0")</f>
        <v>0.329456788288623</v>
      </c>
      <c r="H157" s="187"/>
      <c r="I157" s="188"/>
    </row>
    <row r="158" spans="1:9" ht="12.75" customHeight="1">
      <c r="A158" s="194" t="s">
        <v>82</v>
      </c>
      <c r="B158" s="195"/>
      <c r="C158" s="196"/>
      <c r="D158" s="83">
        <f>SUM('[1]p1'!L104,'[1]p2'!L104,'[1]p3'!L104,'[1]p4'!L104,'[1]p5'!L104,'[1]p6'!L104,'[1]p7'!L104,'[1]p8'!L104,'[1]p9'!L104,'[1]p10'!L104,'[1]p11'!L104,'[1]p12'!L104,'[1]p13'!L104,'[1]p14'!L104,'[1]p15'!L104,'[1]p16'!L104,'[1]p17'!L104,'[1]p18'!L104,'[1]p19'!L104,'[1]p20'!L104,'[1]p21'!L104,'[1]p22'!L104,'[1]p23'!L104,'[1]p24'!L104,'[1]p25'!L104)+SUM('[1]p26'!L104,'[1]p27'!L104,'[1]p28'!L104,'[1]p29'!L104,'[1]p30'!L104,'[1]p31'!L104,'[1]p32'!L104,'[1]p33'!L104,'[1]p34'!L104,'[1]p35'!L104,'[1]p36'!L104,'[1]p37'!L104,'[1]p38'!L104,'[1]p39'!L104,'[1]p40'!L104,'[1]p41'!L104,'[1]p42'!L104,'[1]p43'!L104,'[1]p44'!L104,'[1]p45'!L104,'[1]p46'!L104,'[1]p47'!L104,'[1]p48'!L104,'[1]p49'!L104,'[1]p50'!L104)</f>
        <v>1758</v>
      </c>
      <c r="E158" s="197">
        <f>IF(D170&lt;&gt;0,D158/D170,"CHTotal-0")</f>
        <v>0.05837816298067344</v>
      </c>
      <c r="F158" s="198"/>
      <c r="G158" s="199">
        <f>IF(G154&lt;&gt;0,D158/G154,"CHDisponivel-0")</f>
        <v>0.06531916474697183</v>
      </c>
      <c r="H158" s="187"/>
      <c r="I158" s="188"/>
    </row>
    <row r="159" spans="1:9" ht="12.75" customHeight="1">
      <c r="A159" s="194" t="s">
        <v>1</v>
      </c>
      <c r="B159" s="195"/>
      <c r="C159" s="196"/>
      <c r="D159" s="83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429</v>
      </c>
      <c r="E159" s="197">
        <f>IF(D170&lt;&gt;0,D159/D170,"CHTotal-0")</f>
        <v>0.014245865710300856</v>
      </c>
      <c r="F159" s="198"/>
      <c r="G159" s="199">
        <f>IF(G154&lt;&gt;0,D159/G154,"CHDisponivel-0")</f>
        <v>0.015939659656684254</v>
      </c>
      <c r="H159" s="187"/>
      <c r="I159" s="188"/>
    </row>
    <row r="160" spans="1:9" ht="12.75" customHeight="1">
      <c r="A160" s="194" t="s">
        <v>80</v>
      </c>
      <c r="B160" s="195"/>
      <c r="C160" s="196"/>
      <c r="D160" s="8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445</v>
      </c>
      <c r="E160" s="197">
        <f>IF(D170&lt;&gt;0,D160/D170,"CHTotal-0")</f>
        <v>0.014777180049146577</v>
      </c>
      <c r="F160" s="198"/>
      <c r="G160" s="199">
        <f>IF(G154&lt;&gt;0,D160/G154,"CHDisponivel-0")</f>
        <v>0.01653414579772609</v>
      </c>
      <c r="H160" s="187"/>
      <c r="I160" s="188"/>
    </row>
    <row r="161" spans="1:9" ht="12.75" customHeight="1">
      <c r="A161" s="194" t="s">
        <v>83</v>
      </c>
      <c r="B161" s="195"/>
      <c r="C161" s="196"/>
      <c r="D161" s="83">
        <f>SUM('[1]p1'!L136,'[1]p2'!L136,'[1]p3'!L136,'[1]p4'!L136,'[1]p5'!L136,'[1]p6'!L136,'[1]p7'!L136,'[1]p8'!L136,'[1]p9'!L136,'[1]p10'!L136,'[1]p11'!L136,'[1]p12'!L136,'[1]p13'!L136,'[1]p14'!L136,'[1]p15'!L136,'[1]p16'!L136,'[1]p17'!L136,'[1]p18'!L136,'[1]p19'!L136,'[1]p20'!L136,'[1]p21'!L136,'[1]p22'!L136,'[1]p23'!L136,'[1]p24'!L136,'[1]p25'!L136)+SUM('[1]p26'!L136,'[1]p27'!L136,'[1]p28'!L136,'[1]p29'!L136,'[1]p30'!L136,'[1]p31'!L136,'[1]p32'!L136,'[1]p33'!L136,'[1]p34'!L136,'[1]p35'!L136,'[1]p36'!L136,'[1]p37'!L136,'[1]p38'!L136,'[1]p39'!L136,'[1]p40'!L136,'[1]p41'!L136,'[1]p42'!L136,'[1]p43'!L136,'[1]p44'!L136,'[1]p45'!L136,'[1]p46'!L136,'[1]p47'!L136,'[1]p48'!L136,'[1]p49'!L136,'[1]p50'!L136)</f>
        <v>691</v>
      </c>
      <c r="E161" s="197">
        <f>IF(D170&lt;&gt;0,D161/D170,"CHTotal-0")</f>
        <v>0.022946138008899514</v>
      </c>
      <c r="F161" s="198"/>
      <c r="G161" s="199">
        <f>IF(G154&lt;&gt;0,D161/G154,"CHDisponivel-0")</f>
        <v>0.025674370216244333</v>
      </c>
      <c r="H161" s="187"/>
      <c r="I161" s="188"/>
    </row>
    <row r="162" spans="1:9" ht="12.75">
      <c r="A162" s="194" t="s">
        <v>150</v>
      </c>
      <c r="B162" s="195"/>
      <c r="C162" s="196"/>
      <c r="D162" s="83">
        <f>SUM('[1]p1'!L166,'[1]p2'!L166,'[1]p3'!L166,'[1]p4'!L166,'[1]p5'!L166,'[1]p6'!L166,'[1]p7'!L166,'[1]p8'!L166,'[1]p9'!L166,'[1]p10'!L166,'[1]p11'!L166,'[1]p12'!L166,'[1]p13'!L166,'[1]p14'!L166,'[1]p15'!L166,'[1]p16'!L166,'[1]p17'!L166,'[1]p18'!L166,'[1]p19'!L166,'[1]p20'!L166,'[1]p21'!L166,'[1]p22'!L166,'[1]p23'!L166,'[1]p24'!L166,'[1]p25'!L166)+SUM('[1]p26'!L166,'[1]p27'!L166,'[1]p28'!L166,'[1]p29'!L166,'[1]p30'!L166,'[1]p31'!L166,'[1]p32'!L166,'[1]p33'!L166,'[1]p34'!L166,'[1]p35'!L166,'[1]p36'!L166,'[1]p37'!L166,'[1]p38'!L166,'[1]p39'!L166,'[1]p40'!L166,'[1]p41'!L166,'[1]p42'!L166,'[1]p43'!L166,'[1]p44'!L166,'[1]p45'!L166,'[1]p46'!L166,'[1]p47'!L166,'[1]p48'!L166,'[1]p49'!L166,'[1]p50'!L166)</f>
        <v>1705</v>
      </c>
      <c r="E162" s="197">
        <f>IF(D170&lt;&gt;0,D162/D170,"CHTotal-0")</f>
        <v>0.05661818423324699</v>
      </c>
      <c r="F162" s="198"/>
      <c r="G162" s="199">
        <f>IF(G154&lt;&gt;0,D162/G154,"CHDisponivel-0")</f>
        <v>0.06334992940477076</v>
      </c>
      <c r="H162" s="187"/>
      <c r="I162" s="188"/>
    </row>
    <row r="163" spans="1:9" ht="12.75">
      <c r="A163" s="194" t="s">
        <v>151</v>
      </c>
      <c r="B163" s="195"/>
      <c r="C163" s="196"/>
      <c r="D163" s="83">
        <f>SUM('[1]p1'!L196,'[1]p2'!L196,'[1]p3'!L196,'[1]p4'!L196,'[1]p5'!L196,'[1]p6'!L196,'[1]p7'!L196,'[1]p8'!L196,'[1]p9'!L196,'[1]p10'!L196,'[1]p11'!L196,'[1]p12'!L196,'[1]p13'!L196,'[1]p14'!L196,'[1]p15'!L196,'[1]p16'!L196,'[1]p17'!L196,'[1]p18'!L196,'[1]p19'!L196,'[1]p20'!L196,'[1]p21'!L196,'[1]p22'!L196,'[1]p23'!L196,'[1]p24'!L196,'[1]p25'!L196)+SUM('[1]p26'!L196,'[1]p27'!L196,'[1]p28'!L196,'[1]p29'!L196,'[1]p30'!L196,'[1]p31'!L196,'[1]p32'!L196,'[1]p33'!L196,'[1]p34'!L196,'[1]p35'!L196,'[1]p36'!L196,'[1]p37'!L196,'[1]p38'!L196,'[1]p39'!L196,'[1]p40'!L196,'[1]p41'!L196,'[1]p42'!L196,'[1]p43'!L196,'[1]p44'!L196,'[1]p45'!L196,'[1]p46'!L196,'[1]p47'!L196,'[1]p48'!L196,'[1]p49'!L196,'[1]p50'!L196)</f>
        <v>400</v>
      </c>
      <c r="E163" s="197">
        <f>IF(D170&lt;&gt;0,D163/D170,"CHTotal-0")</f>
        <v>0.01328285847114299</v>
      </c>
      <c r="F163" s="198"/>
      <c r="G163" s="199">
        <f>IF(G154&lt;&gt;0,D163/G154,"CHDisponivel-0")</f>
        <v>0.014862153526045923</v>
      </c>
      <c r="H163" s="187"/>
      <c r="I163" s="188"/>
    </row>
    <row r="164" spans="1:9" ht="12.75" customHeight="1">
      <c r="A164" s="194" t="s">
        <v>2</v>
      </c>
      <c r="B164" s="195"/>
      <c r="C164" s="196"/>
      <c r="D164" s="83">
        <f>SUM('[1]p1'!L267,'[1]p2'!L267,'[1]p3'!L267,'[1]p4'!L267,'[1]p5'!L267,'[1]p6'!L267,'[1]p7'!L267,'[1]p8'!L267,'[1]p9'!L267,'[1]p10'!L267,'[1]p11'!L267,'[1]p12'!L267,'[1]p13'!L267,'[1]p14'!L267,'[1]p15'!L267,'[1]p16'!L267,'[1]p17'!L267,'[1]p18'!L267,'[1]p19'!L267,'[1]p20'!L267,'[1]p21'!L267,'[1]p22'!L267,'[1]p23'!L267,'[1]p24'!L267,'[1]p25'!L267)+SUM('[1]p26'!L267,'[1]p27'!L267,'[1]p28'!L267,'[1]p29'!L267,'[1]p30'!L267,'[1]p31'!L267,'[1]p32'!L267,'[1]p33'!L267,'[1]p34'!L267,'[1]p35'!L267,'[1]p36'!L267,'[1]p37'!L267,'[1]p38'!L267,'[1]p39'!L267,'[1]p40'!L267,'[1]p41'!L267,'[1]p42'!L267,'[1]p43'!L267,'[1]p44'!L267,'[1]p45'!L267,'[1]p46'!L267,'[1]p47'!L267,'[1]p48'!L267,'[1]p49'!L267,'[1]p50'!L267)</f>
        <v>189</v>
      </c>
      <c r="E164" s="197">
        <f>IF(D170&lt;&gt;0,D164/D170,"CHTotal-0")</f>
        <v>0.006276150627615063</v>
      </c>
      <c r="F164" s="198"/>
      <c r="G164" s="199">
        <f>IF(G154&lt;&gt;0,D164/G154,"CHDisponivel-0")</f>
        <v>0.007022367541056699</v>
      </c>
      <c r="H164" s="187"/>
      <c r="I164" s="188"/>
    </row>
    <row r="165" spans="1:9" ht="12.75" customHeight="1">
      <c r="A165" s="194" t="s">
        <v>3</v>
      </c>
      <c r="B165" s="195"/>
      <c r="C165" s="196"/>
      <c r="D165" s="83">
        <f>SUM('[1]p1'!L291,'[1]p2'!L291,'[1]p3'!L291,'[1]p4'!L291,'[1]p5'!L291,'[1]p6'!L291,'[1]p7'!L291,'[1]p8'!L291,'[1]p9'!L291,'[1]p10'!L291,'[1]p11'!L291,'[1]p12'!L291,'[1]p13'!L291,'[1]p14'!L291,'[1]p15'!L291,'[1]p16'!L291,'[1]p17'!L291,'[1]p18'!L291,'[1]p19'!L291,'[1]p20'!L291,'[1]p21'!L291,'[1]p22'!L291,'[1]p23'!L291,'[1]p24'!L291,'[1]p25'!L291)+SUM('[1]p26'!L291,'[1]p27'!L291,'[1]p28'!L291,'[1]p29'!L291,'[1]p30'!L291,'[1]p31'!L291,'[1]p32'!L291,'[1]p33'!L291,'[1]p34'!L291,'[1]p35'!L291,'[1]p36'!L291,'[1]p37'!L291,'[1]p38'!L291,'[1]p39'!L291,'[1]p40'!L291,'[1]p41'!L291,'[1]p42'!L291,'[1]p43'!L291,'[1]p44'!L291,'[1]p45'!L291,'[1]p46'!L291,'[1]p47'!L291,'[1]p48'!L291,'[1]p49'!L291,'[1]p50'!L291)</f>
        <v>390</v>
      </c>
      <c r="E165" s="197">
        <f>IF(D170&lt;&gt;0,D165/D170,"CHTotal-0")</f>
        <v>0.012950787009364416</v>
      </c>
      <c r="F165" s="198"/>
      <c r="G165" s="199">
        <f>IF(G154&lt;&gt;0,D165/G154,"CHDisponivel-0")</f>
        <v>0.014490599687894776</v>
      </c>
      <c r="H165" s="187"/>
      <c r="I165" s="188"/>
    </row>
    <row r="166" spans="1:9" ht="12.75" customHeight="1">
      <c r="A166" s="194" t="s">
        <v>4</v>
      </c>
      <c r="B166" s="195"/>
      <c r="C166" s="196"/>
      <c r="D166" s="83">
        <f>SUM('[1]p1'!L298,'[1]p2'!L298,'[1]p3'!L298,'[1]p4'!L298,'[1]p5'!L298,'[1]p6'!L298,'[1]p7'!L298,'[1]p8'!L298,'[1]p9'!L298,'[1]p10'!L298,'[1]p11'!L298,'[1]p12'!L298,'[1]p13'!L298,'[1]p14'!L298,'[1]p15'!L298,'[1]p16'!L298,'[1]p17'!L298,'[1]p18'!L298,'[1]p19'!L298,'[1]p20'!L298,'[1]p21'!L298,'[1]p22'!L298,'[1]p23'!L298,'[1]p24'!L298,'[1]p25'!L298)+SUM('[1]p26'!L298,'[1]p27'!L298,'[1]p28'!L298,'[1]p29'!L298,'[1]p30'!L298,'[1]p31'!L298,'[1]p32'!L298,'[1]p33'!L298,'[1]p34'!L298,'[1]p35'!L298,'[1]p36'!L298,'[1]p37'!L298,'[1]p38'!L298,'[1]p39'!L298,'[1]p40'!L298,'[1]p41'!L298,'[1]p42'!L298,'[1]p43'!L298,'[1]p44'!L298,'[1]p45'!L298,'[1]p46'!L298,'[1]p47'!L298,'[1]p48'!L298,'[1]p49'!L298,'[1]p50'!L298)</f>
        <v>2383</v>
      </c>
      <c r="E166" s="197">
        <f>IF(D170&lt;&gt;0,D166/D170,"CHTotal-0")</f>
        <v>0.07913262934183436</v>
      </c>
      <c r="F166" s="198"/>
      <c r="G166" s="199">
        <f>IF(G154&lt;&gt;0,D166/G154,"CHDisponivel-0")</f>
        <v>0.0885412796314186</v>
      </c>
      <c r="H166" s="187"/>
      <c r="I166" s="188"/>
    </row>
    <row r="167" spans="1:9" ht="12.75" customHeight="1">
      <c r="A167" s="194" t="s">
        <v>5</v>
      </c>
      <c r="B167" s="195"/>
      <c r="C167" s="196"/>
      <c r="D167" s="83">
        <f>SUM('[1]p1'!L320,'[1]p2'!L320,'[1]p3'!L320,'[1]p4'!L320,'[1]p5'!L320,'[1]p6'!L320,'[1]p7'!L320,'[1]p8'!L320,'[1]p9'!L320,'[1]p10'!L320,'[1]p11'!L320,'[1]p12'!L320,'[1]p13'!L320,'[1]p14'!L320,'[1]p15'!L320,'[1]p16'!L320,'[1]p17'!L320,'[1]p18'!L320,'[1]p19'!L320,'[1]p20'!L320,'[1]p21'!L320,'[1]p22'!L320,'[1]p23'!L320,'[1]p24'!L320,'[1]p25'!L320)+SUM('[1]p26'!L320,'[1]p27'!L320,'[1]p28'!L320,'[1]p29'!L320,'[1]p30'!L320,'[1]p31'!L320,'[1]p32'!L320,'[1]p33'!L320,'[1]p34'!L320,'[1]p35'!L320,'[1]p36'!L320,'[1]p37'!L320,'[1]p38'!L320,'[1]p39'!L320,'[1]p40'!L320,'[1]p41'!L320,'[1]p42'!L320,'[1]p43'!L320,'[1]p44'!L320,'[1]p45'!L320,'[1]p46'!L320,'[1]p47'!L320,'[1]p48'!L320,'[1]p49'!L320,'[1]p50'!L320)</f>
        <v>1302</v>
      </c>
      <c r="E167" s="197">
        <f>IF(D170&lt;&gt;0,D167/D170,"CHTotal-0")</f>
        <v>0.043235704323570434</v>
      </c>
      <c r="F167" s="198"/>
      <c r="G167" s="199">
        <f>IF(G154&lt;&gt;0,D167/G154,"CHDisponivel-0")</f>
        <v>0.048376309727279486</v>
      </c>
      <c r="H167" s="187"/>
      <c r="I167" s="188"/>
    </row>
    <row r="168" spans="1:9" ht="12.75" customHeight="1">
      <c r="A168" s="194" t="s">
        <v>6</v>
      </c>
      <c r="B168" s="195"/>
      <c r="C168" s="196"/>
      <c r="D168" s="83">
        <f>SUM('[1]p1'!L342,'[1]p2'!L342,'[1]p3'!L342,'[1]p4'!L342,'[1]p5'!L342,'[1]p6'!L342,'[1]p7'!L342,'[1]p8'!L342,'[1]p9'!L342,'[1]p10'!L342,'[1]p11'!L342,'[1]p12'!L342,'[1]p13'!L342,'[1]p14'!L342,'[1]p15'!L342,'[1]p16'!L342,'[1]p17'!L342,'[1]p18'!L342,'[1]p19'!L342,'[1]p20'!L342,'[1]p21'!L342,'[1]p22'!L342,'[1]p23'!L342,'[1]p24'!L342,'[1]p25'!L342)+SUM('[1]p26'!L342,'[1]p27'!L342,'[1]p28'!L342,'[1]p29'!L342,'[1]p30'!L342,'[1]p31'!L342,'[1]p32'!L342,'[1]p33'!L342,'[1]p34'!L342,'[1]p35'!L342,'[1]p36'!L342,'[1]p37'!L342,'[1]p38'!L342,'[1]p39'!L342,'[1]p40'!L342,'[1]p41'!L342,'[1]p42'!L342,'[1]p43'!L342,'[1]p44'!L342,'[1]p45'!L342,'[1]p46'!L342,'[1]p47'!L342,'[1]p48'!L342,'[1]p49'!L342,'[1]p50'!L342)</f>
        <v>302</v>
      </c>
      <c r="E168" s="197">
        <f>IF(D170&lt;&gt;0,D168/D170,"CHTotal-0")</f>
        <v>0.010028558145712957</v>
      </c>
      <c r="F168" s="198"/>
      <c r="G168" s="199">
        <f>IF(G154&lt;&gt;0,D168/G154,"CHDisponivel-0")</f>
        <v>0.011220925912164673</v>
      </c>
      <c r="H168" s="187"/>
      <c r="I168" s="188"/>
    </row>
    <row r="169" spans="1:9" ht="12.75" customHeight="1">
      <c r="A169" s="194" t="s">
        <v>153</v>
      </c>
      <c r="B169" s="195"/>
      <c r="C169" s="196"/>
      <c r="D169" s="83">
        <f>SUM('[1]p1'!L353,'[1]p2'!L353,'[1]p3'!L353,'[1]p4'!L353,'[1]p5'!L353,'[1]p6'!L353,'[1]p7'!L353,'[1]p8'!L353,'[1]p9'!L353,'[1]p10'!L353,'[1]p11'!L353,'[1]p12'!L353,'[1]p13'!L353,'[1]p14'!L353,'[1]p15'!L353,'[1]p16'!L353,'[1]p17'!L353,'[1]p18'!L353,'[1]p19'!L353,'[1]p20'!L353,'[1]p21'!L353,'[1]p22'!L353,'[1]p23'!L353,'[1]p24'!L353,'[1]p25'!L353)+SUM('[1]p26'!L353,'[1]p27'!L353,'[1]p28'!L353,'[1]p29'!L353,'[1]p30'!L353,'[1]p31'!L353,'[1]p32'!L353,'[1]p33'!L353,'[1]p34'!L353,'[1]p35'!L353,'[1]p36'!L353,'[1]p37'!L353,'[1]p38'!L353,'[1]p39'!L353,'[1]p40'!L353,'[1]p41'!L353,'[1]p42'!L353,'[1]p43'!L353,'[1]p44'!L353,'[1]p45'!L353,'[1]p46'!L353,'[1]p47'!L353,'[1]p48'!L353,'[1]p49'!L353,'[1]p50'!L353)</f>
        <v>998</v>
      </c>
      <c r="E169" s="197">
        <f>IF(D170&lt;&gt;0,D169/D170,"CHTotal-0")</f>
        <v>0.03314073188550176</v>
      </c>
      <c r="F169" s="198"/>
      <c r="G169" s="199">
        <f>IF(G154&lt;&gt;0,D169/G154,"CHDisponivel-0")</f>
        <v>0.03708107304748458</v>
      </c>
      <c r="H169" s="187"/>
      <c r="I169" s="188"/>
    </row>
    <row r="170" spans="1:9" ht="13.5" thickBot="1">
      <c r="A170" s="336" t="s">
        <v>18</v>
      </c>
      <c r="B170" s="337"/>
      <c r="C170" s="338"/>
      <c r="D170" s="84">
        <f>SUM(D153:D169)</f>
        <v>30114</v>
      </c>
      <c r="E170" s="339">
        <f>IF(D170&lt;&gt;0,SUM(E153:E169),"CHTotal-0")</f>
        <v>1</v>
      </c>
      <c r="F170" s="340"/>
      <c r="G170" s="339">
        <f>IF(G154&lt;&gt;0,SUM(G155:I169),"CHDisponivel-0")</f>
        <v>0.9999999999999999</v>
      </c>
      <c r="H170" s="341"/>
      <c r="I170" s="340"/>
    </row>
  </sheetData>
  <sheetProtection password="CEFE" sheet="1" objects="1" scenarios="1"/>
  <mergeCells count="247">
    <mergeCell ref="A79:I79"/>
    <mergeCell ref="A98:D98"/>
    <mergeCell ref="A106:H106"/>
    <mergeCell ref="F99:G99"/>
    <mergeCell ref="H99:I99"/>
    <mergeCell ref="A103:H103"/>
    <mergeCell ref="A104:H104"/>
    <mergeCell ref="A105:H105"/>
    <mergeCell ref="A80:I80"/>
    <mergeCell ref="A86:I86"/>
    <mergeCell ref="A17:I17"/>
    <mergeCell ref="A59:I59"/>
    <mergeCell ref="A53:I53"/>
    <mergeCell ref="A56:H56"/>
    <mergeCell ref="A57:H57"/>
    <mergeCell ref="A58:I58"/>
    <mergeCell ref="A20:H20"/>
    <mergeCell ref="A30:H30"/>
    <mergeCell ref="A22:H22"/>
    <mergeCell ref="A25:H25"/>
    <mergeCell ref="A167:C167"/>
    <mergeCell ref="E167:F167"/>
    <mergeCell ref="A166:C166"/>
    <mergeCell ref="A145:H145"/>
    <mergeCell ref="A165:C165"/>
    <mergeCell ref="E165:F165"/>
    <mergeCell ref="G165:I165"/>
    <mergeCell ref="A164:C164"/>
    <mergeCell ref="E164:F164"/>
    <mergeCell ref="G164:I164"/>
    <mergeCell ref="A140:I140"/>
    <mergeCell ref="A74:H74"/>
    <mergeCell ref="A75:H75"/>
    <mergeCell ref="A32:I32"/>
    <mergeCell ref="A102:I102"/>
    <mergeCell ref="F100:G100"/>
    <mergeCell ref="H100:I100"/>
    <mergeCell ref="A99:D99"/>
    <mergeCell ref="A100:D100"/>
    <mergeCell ref="A69:I69"/>
    <mergeCell ref="A76:H76"/>
    <mergeCell ref="A107:H107"/>
    <mergeCell ref="A108:H108"/>
    <mergeCell ref="A26:H26"/>
    <mergeCell ref="A27:H27"/>
    <mergeCell ref="A28:H28"/>
    <mergeCell ref="A29:H29"/>
    <mergeCell ref="A95:I95"/>
    <mergeCell ref="F98:G98"/>
    <mergeCell ref="H98:I98"/>
    <mergeCell ref="A31:H31"/>
    <mergeCell ref="A112:I112"/>
    <mergeCell ref="A113:I113"/>
    <mergeCell ref="A109:H109"/>
    <mergeCell ref="A110:H110"/>
    <mergeCell ref="A111:H111"/>
    <mergeCell ref="A46:I46"/>
    <mergeCell ref="A47:I47"/>
    <mergeCell ref="A48:H48"/>
    <mergeCell ref="A49:H49"/>
    <mergeCell ref="A116:H116"/>
    <mergeCell ref="A118:H118"/>
    <mergeCell ref="A117:H117"/>
    <mergeCell ref="A119:H119"/>
    <mergeCell ref="A126:I126"/>
    <mergeCell ref="A128:H128"/>
    <mergeCell ref="A129:H129"/>
    <mergeCell ref="A120:H120"/>
    <mergeCell ref="A122:F122"/>
    <mergeCell ref="G122:I122"/>
    <mergeCell ref="A143:H143"/>
    <mergeCell ref="A144:H144"/>
    <mergeCell ref="A133:H133"/>
    <mergeCell ref="A127:I127"/>
    <mergeCell ref="A132:H132"/>
    <mergeCell ref="A130:H130"/>
    <mergeCell ref="A131:H131"/>
    <mergeCell ref="A136:F136"/>
    <mergeCell ref="G136:I136"/>
    <mergeCell ref="A141:I141"/>
    <mergeCell ref="A3:G3"/>
    <mergeCell ref="A61:H61"/>
    <mergeCell ref="A33:H33"/>
    <mergeCell ref="A78:H78"/>
    <mergeCell ref="A71:H71"/>
    <mergeCell ref="A72:H72"/>
    <mergeCell ref="A65:H65"/>
    <mergeCell ref="A66:H66"/>
    <mergeCell ref="A70:I70"/>
    <mergeCell ref="A77:H77"/>
    <mergeCell ref="A151:I151"/>
    <mergeCell ref="A146:H146"/>
    <mergeCell ref="A147:H147"/>
    <mergeCell ref="A148:H148"/>
    <mergeCell ref="A149:H149"/>
    <mergeCell ref="E166:F166"/>
    <mergeCell ref="G166:I166"/>
    <mergeCell ref="E168:F168"/>
    <mergeCell ref="G168:I168"/>
    <mergeCell ref="G167:I167"/>
    <mergeCell ref="A168:C168"/>
    <mergeCell ref="E169:F169"/>
    <mergeCell ref="G169:I169"/>
    <mergeCell ref="A170:C170"/>
    <mergeCell ref="E170:F170"/>
    <mergeCell ref="G170:I170"/>
    <mergeCell ref="A169:C169"/>
    <mergeCell ref="A1:I1"/>
    <mergeCell ref="A2:I2"/>
    <mergeCell ref="A85:H85"/>
    <mergeCell ref="A62:H62"/>
    <mergeCell ref="A67:H67"/>
    <mergeCell ref="A68:H68"/>
    <mergeCell ref="A81:H81"/>
    <mergeCell ref="A73:H73"/>
    <mergeCell ref="A23:I23"/>
    <mergeCell ref="A24:I24"/>
    <mergeCell ref="A4:I4"/>
    <mergeCell ref="A5:B5"/>
    <mergeCell ref="A6:B6"/>
    <mergeCell ref="C5:E5"/>
    <mergeCell ref="C6:E6"/>
    <mergeCell ref="F5:I5"/>
    <mergeCell ref="F6:I6"/>
    <mergeCell ref="A8:C8"/>
    <mergeCell ref="E8:I9"/>
    <mergeCell ref="A7:B7"/>
    <mergeCell ref="A9:C9"/>
    <mergeCell ref="C7:D7"/>
    <mergeCell ref="F7:G7"/>
    <mergeCell ref="H7:I7"/>
    <mergeCell ref="A10:I10"/>
    <mergeCell ref="A11:I11"/>
    <mergeCell ref="A12:D12"/>
    <mergeCell ref="F12:H12"/>
    <mergeCell ref="A16:I16"/>
    <mergeCell ref="A13:D13"/>
    <mergeCell ref="F13:H13"/>
    <mergeCell ref="A14:D14"/>
    <mergeCell ref="F14:H14"/>
    <mergeCell ref="A15:D15"/>
    <mergeCell ref="F15:H15"/>
    <mergeCell ref="D34:G34"/>
    <mergeCell ref="D35:G35"/>
    <mergeCell ref="A40:C40"/>
    <mergeCell ref="G40:I40"/>
    <mergeCell ref="A38:I38"/>
    <mergeCell ref="A37:I37"/>
    <mergeCell ref="A36:H36"/>
    <mergeCell ref="A34:C35"/>
    <mergeCell ref="A50:H50"/>
    <mergeCell ref="A51:H51"/>
    <mergeCell ref="A52:H52"/>
    <mergeCell ref="A54:I54"/>
    <mergeCell ref="A55:H55"/>
    <mergeCell ref="A60:I60"/>
    <mergeCell ref="A63:H63"/>
    <mergeCell ref="A64:H64"/>
    <mergeCell ref="A83:H83"/>
    <mergeCell ref="A84:H84"/>
    <mergeCell ref="A82:H82"/>
    <mergeCell ref="A89:D89"/>
    <mergeCell ref="F89:G89"/>
    <mergeCell ref="H89:I89"/>
    <mergeCell ref="A87:I87"/>
    <mergeCell ref="A88:D88"/>
    <mergeCell ref="F88:G88"/>
    <mergeCell ref="H88:I88"/>
    <mergeCell ref="A90:D90"/>
    <mergeCell ref="F90:G90"/>
    <mergeCell ref="H90:I90"/>
    <mergeCell ref="H93:I93"/>
    <mergeCell ref="A94:I94"/>
    <mergeCell ref="A91:D91"/>
    <mergeCell ref="F91:G91"/>
    <mergeCell ref="H91:I91"/>
    <mergeCell ref="A92:D92"/>
    <mergeCell ref="F92:G92"/>
    <mergeCell ref="H92:I92"/>
    <mergeCell ref="A96:D96"/>
    <mergeCell ref="F96:G96"/>
    <mergeCell ref="H96:I96"/>
    <mergeCell ref="F101:G101"/>
    <mergeCell ref="H101:I101"/>
    <mergeCell ref="A97:D97"/>
    <mergeCell ref="A101:D101"/>
    <mergeCell ref="A142:H142"/>
    <mergeCell ref="A135:I135"/>
    <mergeCell ref="A123:F123"/>
    <mergeCell ref="G123:I123"/>
    <mergeCell ref="A124:F124"/>
    <mergeCell ref="G124:I124"/>
    <mergeCell ref="A125:F125"/>
    <mergeCell ref="G125:I125"/>
    <mergeCell ref="A134:H134"/>
    <mergeCell ref="G137:I137"/>
    <mergeCell ref="A154:C154"/>
    <mergeCell ref="E154:F154"/>
    <mergeCell ref="G154:I154"/>
    <mergeCell ref="A152:C152"/>
    <mergeCell ref="E152:F152"/>
    <mergeCell ref="G152:I152"/>
    <mergeCell ref="A153:C153"/>
    <mergeCell ref="E153:F153"/>
    <mergeCell ref="G153:I153"/>
    <mergeCell ref="E158:F158"/>
    <mergeCell ref="G158:I158"/>
    <mergeCell ref="A155:C155"/>
    <mergeCell ref="E155:F155"/>
    <mergeCell ref="G155:I155"/>
    <mergeCell ref="A156:C156"/>
    <mergeCell ref="E156:F156"/>
    <mergeCell ref="G156:I156"/>
    <mergeCell ref="A160:C160"/>
    <mergeCell ref="E160:F160"/>
    <mergeCell ref="G160:I160"/>
    <mergeCell ref="A157:C157"/>
    <mergeCell ref="E157:F157"/>
    <mergeCell ref="G157:I157"/>
    <mergeCell ref="A159:C159"/>
    <mergeCell ref="E159:F159"/>
    <mergeCell ref="G159:I159"/>
    <mergeCell ref="A158:C158"/>
    <mergeCell ref="A163:C163"/>
    <mergeCell ref="E163:F163"/>
    <mergeCell ref="G163:I163"/>
    <mergeCell ref="A161:C161"/>
    <mergeCell ref="E161:F161"/>
    <mergeCell ref="G161:I161"/>
    <mergeCell ref="A162:C162"/>
    <mergeCell ref="E162:F162"/>
    <mergeCell ref="G162:I162"/>
    <mergeCell ref="A18:H18"/>
    <mergeCell ref="A19:H19"/>
    <mergeCell ref="A21:H21"/>
    <mergeCell ref="A121:I121"/>
    <mergeCell ref="A114:H114"/>
    <mergeCell ref="A115:H115"/>
    <mergeCell ref="F97:G97"/>
    <mergeCell ref="H97:I97"/>
    <mergeCell ref="A93:D93"/>
    <mergeCell ref="F93:G93"/>
    <mergeCell ref="A137:F137"/>
    <mergeCell ref="G138:I138"/>
    <mergeCell ref="G139:I139"/>
    <mergeCell ref="A139:F139"/>
    <mergeCell ref="A138:F138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2" manualBreakCount="2">
    <brk id="31" max="8" man="1"/>
    <brk id="10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3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92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6" t="s">
        <v>79</v>
      </c>
      <c r="Q3" s="397"/>
      <c r="R3" s="394" t="str">
        <f>'[1]p1'!$H$4</f>
        <v>2008.1</v>
      </c>
      <c r="S3" s="395"/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77" t="s">
        <v>69</v>
      </c>
      <c r="B6" s="477"/>
      <c r="C6" s="477"/>
      <c r="D6" s="477"/>
      <c r="E6" s="477"/>
      <c r="F6" s="477" t="s">
        <v>64</v>
      </c>
      <c r="G6" s="477"/>
      <c r="H6" s="477" t="s">
        <v>70</v>
      </c>
      <c r="I6" s="477"/>
      <c r="J6" s="477" t="s">
        <v>71</v>
      </c>
      <c r="K6" s="477"/>
      <c r="L6" s="11"/>
      <c r="M6" s="477" t="s">
        <v>139</v>
      </c>
      <c r="N6" s="477"/>
      <c r="O6" s="11"/>
      <c r="P6" s="11" t="s">
        <v>68</v>
      </c>
      <c r="Q6" s="11"/>
      <c r="R6" s="477" t="s">
        <v>21</v>
      </c>
      <c r="S6" s="477"/>
    </row>
    <row r="7" spans="1:19" s="34" customFormat="1" ht="11.25">
      <c r="A7" s="387" t="str">
        <f>T('[1]p8'!$C$13:$G$13)</f>
        <v>Aparecido Jesuino de Souza</v>
      </c>
      <c r="B7" s="385"/>
      <c r="C7" s="385"/>
      <c r="D7" s="385"/>
      <c r="E7" s="401"/>
      <c r="F7" s="475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</row>
    <row r="8" spans="1:19" s="2" customFormat="1" ht="13.5" customHeight="1">
      <c r="A8" s="413" t="str">
        <f>IF('[1]p8'!$A$69&lt;&gt;0,'[1]p8'!$A$69,"")</f>
        <v>Teoria de choques e leis de conservação (08.1)</v>
      </c>
      <c r="B8" s="413"/>
      <c r="C8" s="413"/>
      <c r="D8" s="413"/>
      <c r="E8" s="413"/>
      <c r="F8" s="474">
        <f>IF('[1]p8'!$F$69&lt;&gt;0,'[1]p8'!$F$69,"")</f>
        <v>60</v>
      </c>
      <c r="G8" s="474"/>
      <c r="H8" s="474">
        <f>IF('[1]p8'!$E$69&lt;&gt;0,'[1]p8'!$E$69,"")</f>
        <v>2</v>
      </c>
      <c r="I8" s="474"/>
      <c r="J8" s="474">
        <f>IF('[1]p8'!$I$69&lt;&gt;0,'[1]p8'!$I$69,"")</f>
        <v>2</v>
      </c>
      <c r="K8" s="474"/>
      <c r="L8" s="24"/>
      <c r="M8" s="474">
        <f>IF('[1]p8'!$K$69&lt;&gt;0,'[1]p8'!$K$69,"")</f>
      </c>
      <c r="N8" s="474"/>
      <c r="O8" s="24"/>
      <c r="P8" s="24">
        <f>IF('[1]p8'!$L$69&lt;&gt;0,'[1]p8'!$L$69,"")</f>
      </c>
      <c r="Q8" s="42"/>
      <c r="R8" s="474">
        <f>IF('[1]p8'!$J$69&lt;&gt;0,'[1]p8'!$J$69,"")</f>
        <v>2</v>
      </c>
      <c r="S8" s="474"/>
    </row>
    <row r="9" spans="1:17" ht="12.75">
      <c r="A9" s="461"/>
      <c r="B9" s="461"/>
      <c r="C9" s="461"/>
      <c r="D9" s="461"/>
      <c r="E9" s="461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64"/>
    </row>
    <row r="10" spans="1:19" s="34" customFormat="1" ht="11.25">
      <c r="A10" s="387" t="str">
        <f>T('[1]p9'!$C$13:$G$13)</f>
        <v>Bianca Morelli Casalvara Caretta</v>
      </c>
      <c r="B10" s="385"/>
      <c r="C10" s="385"/>
      <c r="D10" s="385"/>
      <c r="E10" s="401"/>
      <c r="F10" s="475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</row>
    <row r="11" spans="1:19" s="2" customFormat="1" ht="13.5" customHeight="1">
      <c r="A11" s="413" t="str">
        <f>IF('[1]p9'!$A$69&lt;&gt;0,'[1]p9'!$A$69,"")</f>
        <v>Tópicos especiais de EDP II (08.1)</v>
      </c>
      <c r="B11" s="413"/>
      <c r="C11" s="413"/>
      <c r="D11" s="413"/>
      <c r="E11" s="413"/>
      <c r="F11" s="474">
        <f>IF('[1]p9'!$F$69&lt;&gt;0,'[1]p9'!$F$69,"")</f>
        <v>60</v>
      </c>
      <c r="G11" s="474"/>
      <c r="H11" s="474">
        <f>IF('[1]p9'!$E$69&lt;&gt;0,'[1]p9'!$E$69,"")</f>
        <v>4</v>
      </c>
      <c r="I11" s="474"/>
      <c r="J11" s="474">
        <f>IF('[1]p9'!$I$69&lt;&gt;0,'[1]p9'!$I$69,"")</f>
        <v>1</v>
      </c>
      <c r="K11" s="474"/>
      <c r="L11" s="24"/>
      <c r="M11" s="474">
        <f>IF('[1]p9'!$K$69&lt;&gt;0,'[1]p9'!$K$69,"")</f>
      </c>
      <c r="N11" s="474"/>
      <c r="O11" s="24"/>
      <c r="P11" s="24">
        <f>IF('[1]p9'!$L$69&lt;&gt;0,'[1]p9'!$L$69,"")</f>
      </c>
      <c r="Q11" s="42"/>
      <c r="R11" s="474">
        <f>IF('[1]p9'!$J$69&lt;&gt;0,'[1]p9'!$J$69,"")</f>
        <v>1</v>
      </c>
      <c r="S11" s="474"/>
    </row>
    <row r="12" spans="1:19" s="2" customFormat="1" ht="13.5" customHeight="1">
      <c r="A12" s="413" t="str">
        <f>IF('[1]p9'!$A$73&lt;&gt;0,'[1]p9'!$A$73,"")</f>
        <v>C. Leitura Esps. de Sobolev e Esps. Deps. do Tempo</v>
      </c>
      <c r="B12" s="413"/>
      <c r="C12" s="413"/>
      <c r="D12" s="413"/>
      <c r="E12" s="413"/>
      <c r="F12" s="474">
        <f>IF('[1]p9'!$F$73&lt;&gt;0,'[1]p9'!$F$73,"")</f>
        <v>15</v>
      </c>
      <c r="G12" s="474"/>
      <c r="H12" s="474">
        <f>IF('[1]p9'!$E$73&lt;&gt;0,'[1]p9'!$E$73,"")</f>
        <v>1</v>
      </c>
      <c r="I12" s="474"/>
      <c r="J12" s="474">
        <f>IF('[1]p9'!$I$73&lt;&gt;0,'[1]p9'!$I$73,"")</f>
        <v>1</v>
      </c>
      <c r="K12" s="474"/>
      <c r="L12" s="24"/>
      <c r="M12" s="474">
        <f>IF('[1]p9'!$K$73&lt;&gt;0,'[1]p9'!$K$73,"")</f>
      </c>
      <c r="N12" s="474"/>
      <c r="O12" s="24"/>
      <c r="P12" s="24">
        <f>IF('[1]p9'!$L$73&lt;&gt;0,'[1]p9'!$L$73,"")</f>
      </c>
      <c r="Q12" s="42"/>
      <c r="R12" s="474">
        <f>IF('[1]p9'!$J$73&lt;&gt;0,'[1]p9'!$J$73,"")</f>
        <v>1</v>
      </c>
      <c r="S12" s="474"/>
    </row>
    <row r="13" spans="1:17" ht="12.75">
      <c r="A13" s="461"/>
      <c r="B13" s="461"/>
      <c r="C13" s="461"/>
      <c r="D13" s="461"/>
      <c r="E13" s="461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64"/>
    </row>
    <row r="14" spans="1:19" s="34" customFormat="1" ht="11.25">
      <c r="A14" s="387" t="str">
        <f>T('[1]p10'!$C$13:$G$13)</f>
        <v>Bráulio Maia Junior</v>
      </c>
      <c r="B14" s="385"/>
      <c r="C14" s="385"/>
      <c r="D14" s="385"/>
      <c r="E14" s="401"/>
      <c r="F14" s="475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</row>
    <row r="15" spans="1:19" s="2" customFormat="1" ht="13.5" customHeight="1">
      <c r="A15" s="413" t="str">
        <f>IF('[1]p10'!$A$69&lt;&gt;0,'[1]p10'!$A$69,"")</f>
        <v>Álgebra (08.1)</v>
      </c>
      <c r="B15" s="413"/>
      <c r="C15" s="413"/>
      <c r="D15" s="413"/>
      <c r="E15" s="413"/>
      <c r="F15" s="474">
        <f>IF('[1]p10'!$F$69&lt;&gt;0,'[1]p10'!$F$69,"")</f>
        <v>60</v>
      </c>
      <c r="G15" s="474"/>
      <c r="H15" s="474">
        <f>IF('[1]p10'!$E$69&lt;&gt;0,'[1]p10'!$E$69,"")</f>
        <v>4</v>
      </c>
      <c r="I15" s="474"/>
      <c r="J15" s="474">
        <f>IF('[1]p10'!$I$69&lt;&gt;0,'[1]p10'!$I$69,"")</f>
        <v>10</v>
      </c>
      <c r="K15" s="474"/>
      <c r="L15" s="24"/>
      <c r="M15" s="474">
        <f>IF('[1]p10'!$K$69&lt;&gt;0,'[1]p10'!$K$69,"")</f>
      </c>
      <c r="N15" s="474"/>
      <c r="O15" s="24"/>
      <c r="P15" s="24">
        <f>IF('[1]p10'!$L$69&lt;&gt;0,'[1]p10'!$L$69,"")</f>
        <v>1</v>
      </c>
      <c r="Q15" s="42"/>
      <c r="R15" s="474">
        <f>IF('[1]p10'!$J$69&lt;&gt;0,'[1]p10'!$J$69,"")</f>
        <v>9</v>
      </c>
      <c r="S15" s="474"/>
    </row>
    <row r="16" spans="1:17" ht="12.75">
      <c r="A16" s="461"/>
      <c r="B16" s="461"/>
      <c r="C16" s="461"/>
      <c r="D16" s="461"/>
      <c r="E16" s="461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64"/>
    </row>
    <row r="17" spans="1:19" s="34" customFormat="1" ht="11.25">
      <c r="A17" s="387" t="str">
        <f>T('[1]p12'!$C$13:$G$13)</f>
        <v>Daniel Cordeiro de Morais Filho</v>
      </c>
      <c r="B17" s="385"/>
      <c r="C17" s="385"/>
      <c r="D17" s="385"/>
      <c r="E17" s="401"/>
      <c r="F17" s="475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</row>
    <row r="18" spans="1:19" s="2" customFormat="1" ht="13.5" customHeight="1">
      <c r="A18" s="413" t="str">
        <f>IF('[1]p12'!$A$69&lt;&gt;0,'[1]p12'!$A$69,"")</f>
        <v>Análise no RN (08.1)</v>
      </c>
      <c r="B18" s="413"/>
      <c r="C18" s="413"/>
      <c r="D18" s="413"/>
      <c r="E18" s="413"/>
      <c r="F18" s="474">
        <f>IF('[1]p12'!$F$69&lt;&gt;0,'[1]p12'!$F$69,"")</f>
        <v>50</v>
      </c>
      <c r="G18" s="474"/>
      <c r="H18" s="474">
        <f>IF('[1]p12'!$E$69&lt;&gt;0,'[1]p12'!$E$69,"")</f>
        <v>3.3</v>
      </c>
      <c r="I18" s="474"/>
      <c r="J18" s="474">
        <f>IF('[1]p12'!$I$69&lt;&gt;0,'[1]p12'!$I$69,"")</f>
        <v>12</v>
      </c>
      <c r="K18" s="474"/>
      <c r="L18" s="24"/>
      <c r="M18" s="474">
        <f>IF('[1]p12'!$K$69&lt;&gt;0,'[1]p12'!$K$69,"")</f>
      </c>
      <c r="N18" s="474"/>
      <c r="O18" s="24"/>
      <c r="P18" s="24">
        <f>IF('[1]p12'!$L$69&lt;&gt;0,'[1]p12'!$L$69,"")</f>
        <v>2</v>
      </c>
      <c r="Q18" s="42"/>
      <c r="R18" s="474">
        <f>IF('[1]p12'!$J$69&lt;&gt;0,'[1]p12'!$J$69,"")</f>
        <v>10</v>
      </c>
      <c r="S18" s="474"/>
    </row>
    <row r="19" spans="1:17" ht="12.75">
      <c r="A19" s="461"/>
      <c r="B19" s="461"/>
      <c r="C19" s="461"/>
      <c r="D19" s="461"/>
      <c r="E19" s="461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64"/>
    </row>
    <row r="20" spans="1:19" s="34" customFormat="1" ht="11.25">
      <c r="A20" s="387" t="str">
        <f>T('[1]p15'!$C$13:$G$13)</f>
        <v>Francisco Júlio Sobreira de A. Corrêa</v>
      </c>
      <c r="B20" s="385"/>
      <c r="C20" s="385"/>
      <c r="D20" s="385"/>
      <c r="E20" s="401"/>
      <c r="F20" s="475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</row>
    <row r="21" spans="1:19" s="2" customFormat="1" ht="13.5" customHeight="1">
      <c r="A21" s="413" t="str">
        <f>IF('[1]p15'!$A$69&lt;&gt;0,'[1]p15'!$A$69,"")</f>
        <v>Topologia dos Espaços Métricos</v>
      </c>
      <c r="B21" s="413"/>
      <c r="C21" s="413"/>
      <c r="D21" s="413"/>
      <c r="E21" s="413"/>
      <c r="F21" s="474">
        <f>IF('[1]p15'!$F$69&lt;&gt;0,'[1]p15'!$F$69,"")</f>
        <v>34</v>
      </c>
      <c r="G21" s="474"/>
      <c r="H21" s="474">
        <f>IF('[1]p15'!$E$69&lt;&gt;0,'[1]p15'!$E$69,"")</f>
        <v>2</v>
      </c>
      <c r="I21" s="474"/>
      <c r="J21" s="474">
        <f>IF('[1]p15'!$I$69&lt;&gt;0,'[1]p15'!$I$69,"")</f>
        <v>8</v>
      </c>
      <c r="K21" s="474"/>
      <c r="L21" s="24"/>
      <c r="M21" s="474">
        <f>IF('[1]p15'!$K$69&lt;&gt;0,'[1]p15'!$K$69,"")</f>
      </c>
      <c r="N21" s="474"/>
      <c r="O21" s="24"/>
      <c r="P21" s="24">
        <f>IF('[1]p15'!$L$69&lt;&gt;0,'[1]p15'!$L$69,"")</f>
      </c>
      <c r="Q21" s="42"/>
      <c r="R21" s="474">
        <f>IF('[1]p15'!$J$69&lt;&gt;0,'[1]p15'!$J$69,"")</f>
        <v>8</v>
      </c>
      <c r="S21" s="474"/>
    </row>
    <row r="22" spans="1:17" ht="12.75">
      <c r="A22" s="461"/>
      <c r="B22" s="461"/>
      <c r="C22" s="461"/>
      <c r="D22" s="461"/>
      <c r="E22" s="461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64"/>
    </row>
    <row r="23" spans="1:19" s="34" customFormat="1" ht="11.25">
      <c r="A23" s="387" t="str">
        <f>T('[1]p33'!$C$13:$G$13)</f>
        <v>Sérgio Mota Alves</v>
      </c>
      <c r="B23" s="385"/>
      <c r="C23" s="385"/>
      <c r="D23" s="385"/>
      <c r="E23" s="401"/>
      <c r="F23" s="475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</row>
    <row r="24" spans="1:19" s="2" customFormat="1" ht="13.5" customHeight="1">
      <c r="A24" s="413" t="str">
        <f>IF('[1]p33'!$A$69&lt;&gt;0,'[1]p33'!$A$69,"")</f>
        <v>Curso de Leitura</v>
      </c>
      <c r="B24" s="413"/>
      <c r="C24" s="413"/>
      <c r="D24" s="413"/>
      <c r="E24" s="413"/>
      <c r="F24" s="474">
        <f>IF('[1]p33'!$F$69&lt;&gt;0,'[1]p33'!$F$69,"")</f>
        <v>30</v>
      </c>
      <c r="G24" s="474"/>
      <c r="H24" s="474">
        <f>IF('[1]p33'!$E$69&lt;&gt;0,'[1]p33'!$E$69,"")</f>
        <v>2</v>
      </c>
      <c r="I24" s="474"/>
      <c r="J24" s="474">
        <f>IF('[1]p33'!$I$69&lt;&gt;0,'[1]p33'!$I$69,"")</f>
        <v>1</v>
      </c>
      <c r="K24" s="474"/>
      <c r="L24" s="24"/>
      <c r="M24" s="474">
        <f>IF('[1]p33'!$K$69&lt;&gt;0,'[1]p33'!$K$69,"")</f>
      </c>
      <c r="N24" s="474"/>
      <c r="O24" s="24"/>
      <c r="P24" s="24">
        <f>IF('[1]p33'!$L$69&lt;&gt;0,'[1]p33'!$L$69,"")</f>
      </c>
      <c r="Q24" s="42"/>
      <c r="R24" s="474">
        <f>IF('[1]p33'!$J$69&lt;&gt;0,'[1]p33'!$J$69,"")</f>
        <v>1</v>
      </c>
      <c r="S24" s="474"/>
    </row>
    <row r="25" spans="1:19" s="2" customFormat="1" ht="13.5" customHeight="1">
      <c r="A25" s="413" t="str">
        <f>IF('[1]p33'!$A$70&lt;&gt;0,'[1]p33'!$A$70,"")</f>
        <v>Curso de Leitura</v>
      </c>
      <c r="B25" s="413"/>
      <c r="C25" s="413"/>
      <c r="D25" s="413"/>
      <c r="E25" s="413"/>
      <c r="F25" s="474">
        <f>IF('[1]p33'!$F$70&lt;&gt;0,'[1]p33'!$F$70,"")</f>
        <v>30</v>
      </c>
      <c r="G25" s="474"/>
      <c r="H25" s="474">
        <f>IF('[1]p33'!$E$70&lt;&gt;0,'[1]p33'!$E$70,"")</f>
        <v>2</v>
      </c>
      <c r="I25" s="474"/>
      <c r="J25" s="474">
        <f>IF('[1]p33'!$I$70&lt;&gt;0,'[1]p33'!$I$70,"")</f>
        <v>1</v>
      </c>
      <c r="K25" s="474"/>
      <c r="L25" s="24"/>
      <c r="M25" s="474">
        <f>IF('[1]p33'!$K$70&lt;&gt;0,'[1]p33'!$K$70,"")</f>
      </c>
      <c r="N25" s="474"/>
      <c r="O25" s="24"/>
      <c r="P25" s="24">
        <f>IF('[1]p33'!$L$70&lt;&gt;0,'[1]p33'!$L$70,"")</f>
      </c>
      <c r="Q25" s="42"/>
      <c r="R25" s="474">
        <f>IF('[1]p33'!$J$70&lt;&gt;0,'[1]p33'!$J$70,"")</f>
        <v>1</v>
      </c>
      <c r="S25" s="474"/>
    </row>
    <row r="26" spans="1:19" s="2" customFormat="1" ht="13.5" customHeight="1">
      <c r="A26" s="413" t="str">
        <f>IF('[1]p33'!$A$71&lt;&gt;0,'[1]p33'!$A$71,"")</f>
        <v>Curso de Leitura</v>
      </c>
      <c r="B26" s="413"/>
      <c r="C26" s="413"/>
      <c r="D26" s="413"/>
      <c r="E26" s="413"/>
      <c r="F26" s="474">
        <f>IF('[1]p33'!$F$71&lt;&gt;0,'[1]p33'!$F$71,"")</f>
        <v>30</v>
      </c>
      <c r="G26" s="474"/>
      <c r="H26" s="474">
        <f>IF('[1]p33'!$E$71&lt;&gt;0,'[1]p33'!$E$71,"")</f>
        <v>2</v>
      </c>
      <c r="I26" s="474"/>
      <c r="J26" s="474">
        <f>IF('[1]p33'!$I$71&lt;&gt;0,'[1]p33'!$I$71,"")</f>
        <v>1</v>
      </c>
      <c r="K26" s="474"/>
      <c r="L26" s="24"/>
      <c r="M26" s="474">
        <f>IF('[1]p33'!$K$71&lt;&gt;0,'[1]p33'!$K$71,"")</f>
      </c>
      <c r="N26" s="474"/>
      <c r="O26" s="24"/>
      <c r="P26" s="24">
        <f>IF('[1]p33'!$L$71&lt;&gt;0,'[1]p33'!$L$71,"")</f>
      </c>
      <c r="Q26" s="42"/>
      <c r="R26" s="474">
        <f>IF('[1]p33'!$J$71&lt;&gt;0,'[1]p33'!$J$71,"")</f>
        <v>1</v>
      </c>
      <c r="S26" s="474"/>
    </row>
    <row r="27" spans="1:19" s="2" customFormat="1" ht="13.5" customHeight="1">
      <c r="A27" s="413" t="str">
        <f>IF('[1]p33'!$A$72&lt;&gt;0,'[1]p33'!$A$72,"")</f>
        <v>Topicos de Álgebra</v>
      </c>
      <c r="B27" s="413"/>
      <c r="C27" s="413"/>
      <c r="D27" s="413"/>
      <c r="E27" s="413"/>
      <c r="F27" s="474">
        <f>IF('[1]p33'!$F$72&lt;&gt;0,'[1]p33'!$F$72,"")</f>
        <v>60</v>
      </c>
      <c r="G27" s="474"/>
      <c r="H27" s="474">
        <f>IF('[1]p33'!$E$72&lt;&gt;0,'[1]p33'!$E$72,"")</f>
        <v>4</v>
      </c>
      <c r="I27" s="474"/>
      <c r="J27" s="474">
        <f>IF('[1]p33'!$I$72&lt;&gt;0,'[1]p33'!$I$72,"")</f>
        <v>4</v>
      </c>
      <c r="K27" s="474"/>
      <c r="L27" s="24"/>
      <c r="M27" s="474">
        <f>IF('[1]p33'!$K$72&lt;&gt;0,'[1]p33'!$K$72,"")</f>
      </c>
      <c r="N27" s="474"/>
      <c r="O27" s="24"/>
      <c r="P27" s="24">
        <f>IF('[1]p33'!$L$72&lt;&gt;0,'[1]p33'!$L$72,"")</f>
      </c>
      <c r="Q27" s="42"/>
      <c r="R27" s="474">
        <f>IF('[1]p33'!$J$72&lt;&gt;0,'[1]p33'!$J$72,"")</f>
        <v>4</v>
      </c>
      <c r="S27" s="474"/>
    </row>
  </sheetData>
  <sheetProtection password="CEFE" sheet="1" objects="1" scenarios="1"/>
  <mergeCells count="90">
    <mergeCell ref="A1:S1"/>
    <mergeCell ref="A2:S2"/>
    <mergeCell ref="R3:S3"/>
    <mergeCell ref="P3:Q3"/>
    <mergeCell ref="E3:O3"/>
    <mergeCell ref="A3:D3"/>
    <mergeCell ref="A4:S5"/>
    <mergeCell ref="A6:E6"/>
    <mergeCell ref="F6:G6"/>
    <mergeCell ref="H6:I6"/>
    <mergeCell ref="J6:K6"/>
    <mergeCell ref="M6:N6"/>
    <mergeCell ref="R6:S6"/>
    <mergeCell ref="A7:E7"/>
    <mergeCell ref="F7:S7"/>
    <mergeCell ref="A8:E8"/>
    <mergeCell ref="F8:G8"/>
    <mergeCell ref="H8:I8"/>
    <mergeCell ref="J8:K8"/>
    <mergeCell ref="M8:N8"/>
    <mergeCell ref="R8:S8"/>
    <mergeCell ref="H11:I11"/>
    <mergeCell ref="J11:K11"/>
    <mergeCell ref="M11:N11"/>
    <mergeCell ref="R11:S11"/>
    <mergeCell ref="R12:S12"/>
    <mergeCell ref="A14:E14"/>
    <mergeCell ref="F14:S14"/>
    <mergeCell ref="A12:E12"/>
    <mergeCell ref="F12:G12"/>
    <mergeCell ref="H12:I12"/>
    <mergeCell ref="J12:K12"/>
    <mergeCell ref="R15:S15"/>
    <mergeCell ref="A17:E17"/>
    <mergeCell ref="F17:S17"/>
    <mergeCell ref="A15:E15"/>
    <mergeCell ref="F15:G15"/>
    <mergeCell ref="H15:I15"/>
    <mergeCell ref="J15:K15"/>
    <mergeCell ref="F20:S20"/>
    <mergeCell ref="A18:E18"/>
    <mergeCell ref="F18:G18"/>
    <mergeCell ref="H18:I18"/>
    <mergeCell ref="J18:K18"/>
    <mergeCell ref="M18:N18"/>
    <mergeCell ref="R18:S18"/>
    <mergeCell ref="A20:E20"/>
    <mergeCell ref="A23:E23"/>
    <mergeCell ref="F23:S23"/>
    <mergeCell ref="A21:E21"/>
    <mergeCell ref="F21:G21"/>
    <mergeCell ref="H21:I21"/>
    <mergeCell ref="J21:K21"/>
    <mergeCell ref="M21:N21"/>
    <mergeCell ref="R21:S21"/>
    <mergeCell ref="A22:P22"/>
    <mergeCell ref="M24:N24"/>
    <mergeCell ref="R24:S24"/>
    <mergeCell ref="M25:N25"/>
    <mergeCell ref="R25:S25"/>
    <mergeCell ref="A24:E24"/>
    <mergeCell ref="F24:G24"/>
    <mergeCell ref="A25:E25"/>
    <mergeCell ref="F25:G25"/>
    <mergeCell ref="H25:I25"/>
    <mergeCell ref="J25:K25"/>
    <mergeCell ref="H24:I24"/>
    <mergeCell ref="J24:K24"/>
    <mergeCell ref="H26:I26"/>
    <mergeCell ref="J26:K26"/>
    <mergeCell ref="H27:I27"/>
    <mergeCell ref="J27:K27"/>
    <mergeCell ref="A27:E27"/>
    <mergeCell ref="F27:G27"/>
    <mergeCell ref="A26:E26"/>
    <mergeCell ref="F26:G26"/>
    <mergeCell ref="M27:N27"/>
    <mergeCell ref="R27:S27"/>
    <mergeCell ref="M26:N26"/>
    <mergeCell ref="R26:S26"/>
    <mergeCell ref="A9:P9"/>
    <mergeCell ref="A13:P13"/>
    <mergeCell ref="A16:P16"/>
    <mergeCell ref="A19:P19"/>
    <mergeCell ref="M15:N15"/>
    <mergeCell ref="M12:N12"/>
    <mergeCell ref="A10:E10"/>
    <mergeCell ref="F10:S10"/>
    <mergeCell ref="A11:E11"/>
    <mergeCell ref="F11:G11"/>
  </mergeCells>
  <conditionalFormatting sqref="J24:K27 J8:K8 J11:K12 J15:K15 J18:K18 J21:K21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0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67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6" t="s">
        <v>79</v>
      </c>
      <c r="Q3" s="397"/>
      <c r="R3" s="394" t="str">
        <f>'[1]p1'!$H$4</f>
        <v>2008.1</v>
      </c>
      <c r="S3" s="395"/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77" t="s">
        <v>69</v>
      </c>
      <c r="B6" s="477"/>
      <c r="C6" s="477"/>
      <c r="D6" s="477"/>
      <c r="E6" s="477"/>
      <c r="F6" s="477" t="s">
        <v>64</v>
      </c>
      <c r="G6" s="477"/>
      <c r="H6" s="477" t="s">
        <v>70</v>
      </c>
      <c r="I6" s="477"/>
      <c r="J6" s="477" t="s">
        <v>71</v>
      </c>
      <c r="K6" s="477"/>
      <c r="L6" s="11"/>
      <c r="M6" s="477" t="s">
        <v>139</v>
      </c>
      <c r="N6" s="477"/>
      <c r="O6" s="11"/>
      <c r="P6" s="11" t="s">
        <v>68</v>
      </c>
      <c r="Q6" s="11"/>
      <c r="R6" s="477" t="s">
        <v>21</v>
      </c>
      <c r="S6" s="477"/>
    </row>
    <row r="7" spans="1:19" s="34" customFormat="1" ht="11.25">
      <c r="A7" s="387" t="str">
        <f>T('[1]p1'!$C$13:$G$13)</f>
        <v>Alciônio Saldanha de Oliveira</v>
      </c>
      <c r="B7" s="385"/>
      <c r="C7" s="385"/>
      <c r="D7" s="385"/>
      <c r="E7" s="401"/>
      <c r="F7" s="475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</row>
    <row r="8" spans="1:19" s="2" customFormat="1" ht="13.5" customHeight="1">
      <c r="A8" s="413" t="str">
        <f>IF('[1]p1'!$A$57&lt;&gt;0,'[1]p1'!$A$57,"")</f>
        <v>Cálculo Diferencial e Integral III - T 02</v>
      </c>
      <c r="B8" s="413"/>
      <c r="C8" s="413"/>
      <c r="D8" s="413"/>
      <c r="E8" s="413"/>
      <c r="F8" s="474">
        <f>IF('[1]p1'!$F$57&lt;&gt;0,'[1]p1'!$F$57,"")</f>
        <v>90</v>
      </c>
      <c r="G8" s="474"/>
      <c r="H8" s="474">
        <f>IF('[1]p1'!$E$57&lt;&gt;0,'[1]p1'!$E$57,"")</f>
        <v>6</v>
      </c>
      <c r="I8" s="474"/>
      <c r="J8" s="474">
        <f>IF('[1]p1'!$I$57&lt;&gt;0,'[1]p1'!$I$57,"")</f>
        <v>49</v>
      </c>
      <c r="K8" s="474"/>
      <c r="L8" s="24"/>
      <c r="M8" s="474">
        <f>IF('[1]p1'!$K$57&lt;&gt;0,'[1]p1'!$K$57,"")</f>
        <v>5</v>
      </c>
      <c r="N8" s="474"/>
      <c r="O8" s="24"/>
      <c r="P8" s="24">
        <f>IF('[1]p1'!$L$57&lt;&gt;0,'[1]p1'!$L$57,"")</f>
        <v>2</v>
      </c>
      <c r="Q8" s="42"/>
      <c r="R8" s="474">
        <f>IF('[1]p1'!$J$57&lt;&gt;0,'[1]p1'!$J$57,"")</f>
        <v>42</v>
      </c>
      <c r="S8" s="474"/>
    </row>
    <row r="9" spans="1:19" s="2" customFormat="1" ht="13.5" customHeight="1">
      <c r="A9" s="413" t="str">
        <f>IF('[1]p1'!$A$58&lt;&gt;0,'[1]p1'!$A$58,"")</f>
        <v>Cálculo Difer. e Integral III (Comp.+Elétr.) -T 01</v>
      </c>
      <c r="B9" s="413"/>
      <c r="C9" s="413"/>
      <c r="D9" s="413"/>
      <c r="E9" s="413"/>
      <c r="F9" s="474">
        <f>IF('[1]p1'!$F$58&lt;&gt;0,'[1]p1'!$F$58,"")</f>
        <v>75</v>
      </c>
      <c r="G9" s="474"/>
      <c r="H9" s="474">
        <f>IF('[1]p1'!$E$58&lt;&gt;0,'[1]p1'!$E$58,"")</f>
        <v>5</v>
      </c>
      <c r="I9" s="474"/>
      <c r="J9" s="474">
        <f>IF('[1]p1'!$I$58&lt;&gt;0,'[1]p1'!$I$58,"")</f>
        <v>53</v>
      </c>
      <c r="K9" s="474"/>
      <c r="L9" s="24"/>
      <c r="M9" s="474">
        <f>IF('[1]p1'!$K$58&lt;&gt;0,'[1]p1'!$K$58,"")</f>
        <v>12</v>
      </c>
      <c r="N9" s="474"/>
      <c r="O9" s="24"/>
      <c r="P9" s="24">
        <f>IF('[1]p1'!$L$58&lt;&gt;0,'[1]p1'!$L$58,"")</f>
        <v>2</v>
      </c>
      <c r="Q9" s="42"/>
      <c r="R9" s="474">
        <f>IF('[1]p1'!$J$58&lt;&gt;0,'[1]p1'!$J$58,"")</f>
        <v>39</v>
      </c>
      <c r="S9" s="474"/>
    </row>
    <row r="10" spans="1:19" s="34" customFormat="1" ht="11.25">
      <c r="A10" s="387" t="str">
        <f>T('[1]p4'!$C$13:$G$13)</f>
        <v>Amauri Araújo Cruz</v>
      </c>
      <c r="B10" s="385"/>
      <c r="C10" s="385"/>
      <c r="D10" s="385"/>
      <c r="E10" s="401"/>
      <c r="F10" s="475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</row>
    <row r="11" spans="1:19" s="2" customFormat="1" ht="13.5" customHeight="1">
      <c r="A11" s="413" t="str">
        <f>IF('[1]p4'!$A$57&lt;&gt;0,'[1]p4'!$A$57,"")</f>
        <v>Álgebra Linear I - T 02</v>
      </c>
      <c r="B11" s="413"/>
      <c r="C11" s="413"/>
      <c r="D11" s="413"/>
      <c r="E11" s="413"/>
      <c r="F11" s="474">
        <f>IF('[1]p4'!$F$57&lt;&gt;0,'[1]p4'!$F$57,"")</f>
        <v>60</v>
      </c>
      <c r="G11" s="474"/>
      <c r="H11" s="474">
        <f>IF('[1]p4'!$E$57&lt;&gt;0,'[1]p4'!$E$57,"")</f>
        <v>4</v>
      </c>
      <c r="I11" s="474"/>
      <c r="J11" s="474">
        <f>IF('[1]p4'!$I$57&lt;&gt;0,'[1]p4'!$I$57,"")</f>
        <v>61</v>
      </c>
      <c r="K11" s="474"/>
      <c r="L11" s="24"/>
      <c r="M11" s="474">
        <f>IF('[1]p4'!$K$57&lt;&gt;0,'[1]p4'!$K$57,"")</f>
        <v>8</v>
      </c>
      <c r="N11" s="474"/>
      <c r="O11" s="24"/>
      <c r="P11" s="24">
        <f>IF('[1]p4'!$L$57&lt;&gt;0,'[1]p4'!$L$57,"")</f>
        <v>12</v>
      </c>
      <c r="Q11" s="42"/>
      <c r="R11" s="474">
        <f>IF('[1]p4'!$J$57&lt;&gt;0,'[1]p4'!$J$57,"")</f>
        <v>41</v>
      </c>
      <c r="S11" s="474"/>
    </row>
    <row r="12" spans="1:19" s="2" customFormat="1" ht="13.5" customHeight="1">
      <c r="A12" s="413" t="str">
        <f>IF('[1]p4'!$A$58&lt;&gt;0,'[1]p4'!$A$58,"")</f>
        <v>Cálculo Diferencial e Integral III - T 01</v>
      </c>
      <c r="B12" s="413"/>
      <c r="C12" s="413"/>
      <c r="D12" s="413"/>
      <c r="E12" s="413"/>
      <c r="F12" s="474">
        <f>IF('[1]p4'!$F$58&lt;&gt;0,'[1]p4'!$F$58,"")</f>
        <v>90</v>
      </c>
      <c r="G12" s="474"/>
      <c r="H12" s="474">
        <f>IF('[1]p4'!$E$58&lt;&gt;0,'[1]p4'!$E$58,"")</f>
        <v>6</v>
      </c>
      <c r="I12" s="474"/>
      <c r="J12" s="474">
        <f>IF('[1]p4'!$I$58&lt;&gt;0,'[1]p4'!$I$58,"")</f>
        <v>33</v>
      </c>
      <c r="K12" s="474"/>
      <c r="L12" s="24"/>
      <c r="M12" s="474">
        <f>IF('[1]p4'!$K$58&lt;&gt;0,'[1]p4'!$K$58,"")</f>
        <v>6</v>
      </c>
      <c r="N12" s="474"/>
      <c r="O12" s="24"/>
      <c r="P12" s="24">
        <f>IF('[1]p4'!$L$58&lt;&gt;0,'[1]p4'!$L$58,"")</f>
        <v>1</v>
      </c>
      <c r="Q12" s="42"/>
      <c r="R12" s="474">
        <f>IF('[1]p4'!$J$58&lt;&gt;0,'[1]p4'!$J$58,"")</f>
        <v>26</v>
      </c>
      <c r="S12" s="474"/>
    </row>
    <row r="13" spans="1:19" s="2" customFormat="1" ht="13.5" customHeight="1">
      <c r="A13" s="413" t="str">
        <f>IF('[1]p4'!$A$59&lt;&gt;0,'[1]p4'!$A$59,"")</f>
        <v>TE (Mat. p/ o Ens. Méd. I - Visão Crítica) - T 02</v>
      </c>
      <c r="B13" s="413"/>
      <c r="C13" s="413"/>
      <c r="D13" s="413"/>
      <c r="E13" s="413"/>
      <c r="F13" s="474">
        <f>IF('[1]p4'!$F$59&lt;&gt;0,'[1]p4'!$F$59,"")</f>
        <v>60</v>
      </c>
      <c r="G13" s="474"/>
      <c r="H13" s="474">
        <f>IF('[1]p4'!$E$59&lt;&gt;0,'[1]p4'!$E$59,"")</f>
        <v>4</v>
      </c>
      <c r="I13" s="474"/>
      <c r="J13" s="474">
        <f>IF('[1]p4'!$I$59&lt;&gt;0,'[1]p4'!$I$59,"")</f>
        <v>23</v>
      </c>
      <c r="K13" s="474"/>
      <c r="L13" s="24"/>
      <c r="M13" s="474">
        <f>IF('[1]p4'!$K$59&lt;&gt;0,'[1]p4'!$K$59,"")</f>
        <v>4</v>
      </c>
      <c r="N13" s="474"/>
      <c r="O13" s="24"/>
      <c r="P13" s="24">
        <f>IF('[1]p4'!$L$59&lt;&gt;0,'[1]p4'!$L$59,"")</f>
        <v>3</v>
      </c>
      <c r="Q13" s="42"/>
      <c r="R13" s="474">
        <f>IF('[1]p4'!$J$59&lt;&gt;0,'[1]p4'!$J$59,"")</f>
        <v>16</v>
      </c>
      <c r="S13" s="474"/>
    </row>
    <row r="14" spans="1:19" s="34" customFormat="1" ht="11.25">
      <c r="A14" s="387" t="str">
        <f>T('[1]p6'!$C$13:$G$13)</f>
        <v>Antônio José da Silva</v>
      </c>
      <c r="B14" s="385"/>
      <c r="C14" s="385"/>
      <c r="D14" s="385"/>
      <c r="E14" s="401"/>
      <c r="F14" s="475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</row>
    <row r="15" spans="1:19" s="2" customFormat="1" ht="13.5" customHeight="1">
      <c r="A15" s="413" t="str">
        <f>IF('[1]p6'!$A$57&lt;&gt;0,'[1]p6'!$A$57,"")</f>
        <v>Estatística Ec. e Introd. à Econometria - T 01</v>
      </c>
      <c r="B15" s="413"/>
      <c r="C15" s="413"/>
      <c r="D15" s="413"/>
      <c r="E15" s="413"/>
      <c r="F15" s="474">
        <f>IF('[1]p6'!$F$57&lt;&gt;0,'[1]p6'!$F$57,"")</f>
        <v>60</v>
      </c>
      <c r="G15" s="474"/>
      <c r="H15" s="474">
        <f>IF('[1]p6'!$E$57&lt;&gt;0,'[1]p6'!$E$57,"")</f>
        <v>4</v>
      </c>
      <c r="I15" s="474"/>
      <c r="J15" s="474">
        <f>IF('[1]p6'!$I$57&lt;&gt;0,'[1]p6'!$I$57,"")</f>
        <v>37</v>
      </c>
      <c r="K15" s="474"/>
      <c r="L15" s="24"/>
      <c r="M15" s="474">
        <f>IF('[1]p6'!$K$57&lt;&gt;0,'[1]p6'!$K$57,"")</f>
        <v>13</v>
      </c>
      <c r="N15" s="474"/>
      <c r="O15" s="24"/>
      <c r="P15" s="24">
        <f>IF('[1]p6'!$L$57&lt;&gt;0,'[1]p6'!$L$57,"")</f>
        <v>7</v>
      </c>
      <c r="Q15" s="42"/>
      <c r="R15" s="474">
        <f>IF('[1]p6'!$J$57&lt;&gt;0,'[1]p6'!$J$57,"")</f>
        <v>17</v>
      </c>
      <c r="S15" s="474"/>
    </row>
    <row r="16" spans="1:19" s="2" customFormat="1" ht="13.5" customHeight="1">
      <c r="A16" s="413" t="str">
        <f>IF('[1]p6'!$A$58&lt;&gt;0,'[1]p6'!$A$58,"")</f>
        <v>Introdução à Estatística Econômica -T 01 </v>
      </c>
      <c r="B16" s="413"/>
      <c r="C16" s="413"/>
      <c r="D16" s="413"/>
      <c r="E16" s="413"/>
      <c r="F16" s="474">
        <f>IF('[1]p6'!$F$58&lt;&gt;0,'[1]p6'!$F$58,"")</f>
        <v>60</v>
      </c>
      <c r="G16" s="474"/>
      <c r="H16" s="474">
        <f>IF('[1]p6'!$E$58&lt;&gt;0,'[1]p6'!$E$58,"")</f>
        <v>4</v>
      </c>
      <c r="I16" s="474"/>
      <c r="J16" s="474">
        <f>IF('[1]p6'!$I$58&lt;&gt;0,'[1]p6'!$I$58,"")</f>
        <v>60</v>
      </c>
      <c r="K16" s="474"/>
      <c r="L16" s="24"/>
      <c r="M16" s="474">
        <f>IF('[1]p6'!$K$58&lt;&gt;0,'[1]p6'!$K$58,"")</f>
        <v>25</v>
      </c>
      <c r="N16" s="474"/>
      <c r="O16" s="24"/>
      <c r="P16" s="24">
        <f>IF('[1]p6'!$L$58&lt;&gt;0,'[1]p6'!$L$58,"")</f>
        <v>24</v>
      </c>
      <c r="Q16" s="42"/>
      <c r="R16" s="474">
        <f>IF('[1]p6'!$J$58&lt;&gt;0,'[1]p6'!$J$58,"")</f>
        <v>11</v>
      </c>
      <c r="S16" s="474"/>
    </row>
    <row r="17" spans="1:19" s="34" customFormat="1" ht="11.25">
      <c r="A17" s="387" t="str">
        <f>T('[1]p7'!$C$13:$G$13)</f>
        <v>Antônio Pereira Brandão Júnior</v>
      </c>
      <c r="B17" s="385"/>
      <c r="C17" s="385"/>
      <c r="D17" s="385"/>
      <c r="E17" s="401"/>
      <c r="F17" s="475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</row>
    <row r="18" spans="1:19" s="2" customFormat="1" ht="13.5" customHeight="1">
      <c r="A18" s="413" t="str">
        <f>IF('[1]p7'!$A$57&lt;&gt;0,'[1]p7'!$A$57,"")</f>
        <v>Álgebra II - T 01</v>
      </c>
      <c r="B18" s="413"/>
      <c r="C18" s="413"/>
      <c r="D18" s="413"/>
      <c r="E18" s="413"/>
      <c r="F18" s="474">
        <f>IF('[1]p7'!$F$57&lt;&gt;0,'[1]p7'!$F$57,"")</f>
        <v>60</v>
      </c>
      <c r="G18" s="474"/>
      <c r="H18" s="474">
        <f>IF('[1]p7'!$E$57&lt;&gt;0,'[1]p7'!$E$57,"")</f>
        <v>4</v>
      </c>
      <c r="I18" s="474"/>
      <c r="J18" s="474">
        <f>IF('[1]p7'!$I$57&lt;&gt;0,'[1]p7'!$I$57,"")</f>
        <v>12</v>
      </c>
      <c r="K18" s="474"/>
      <c r="L18" s="24"/>
      <c r="M18" s="474">
        <f>IF('[1]p7'!$K$57&lt;&gt;0,'[1]p7'!$K$57,"")</f>
        <v>4</v>
      </c>
      <c r="N18" s="474"/>
      <c r="O18" s="24"/>
      <c r="P18" s="24">
        <f>IF('[1]p7'!$L$57&lt;&gt;0,'[1]p7'!$L$57,"")</f>
        <v>4</v>
      </c>
      <c r="Q18" s="42"/>
      <c r="R18" s="474">
        <f>IF('[1]p7'!$J$57&lt;&gt;0,'[1]p7'!$J$57,"")</f>
        <v>4</v>
      </c>
      <c r="S18" s="474"/>
    </row>
    <row r="19" spans="1:19" s="2" customFormat="1" ht="13.5" customHeight="1">
      <c r="A19" s="413" t="str">
        <f>IF('[1]p7'!$A$58&lt;&gt;0,'[1]p7'!$A$58,"")</f>
        <v>Tópicos Especiais de Álgebra - T 01</v>
      </c>
      <c r="B19" s="413"/>
      <c r="C19" s="413"/>
      <c r="D19" s="413"/>
      <c r="E19" s="413"/>
      <c r="F19" s="474">
        <f>IF('[1]p7'!$F$58&lt;&gt;0,'[1]p7'!$F$58,"")</f>
        <v>60</v>
      </c>
      <c r="G19" s="474"/>
      <c r="H19" s="474">
        <f>IF('[1]p7'!$E$58&lt;&gt;0,'[1]p7'!$E$58,"")</f>
        <v>4</v>
      </c>
      <c r="I19" s="474"/>
      <c r="J19" s="474">
        <f>IF('[1]p7'!$I$58&lt;&gt;0,'[1]p7'!$I$58,"")</f>
        <v>5</v>
      </c>
      <c r="K19" s="474"/>
      <c r="L19" s="24"/>
      <c r="M19" s="474">
        <f>IF('[1]p7'!$K$58&lt;&gt;0,'[1]p7'!$K$58,"")</f>
        <v>1</v>
      </c>
      <c r="N19" s="474"/>
      <c r="O19" s="24"/>
      <c r="P19" s="24">
        <f>IF('[1]p7'!$L$58&lt;&gt;0,'[1]p7'!$L$58,"")</f>
        <v>1</v>
      </c>
      <c r="Q19" s="42"/>
      <c r="R19" s="474">
        <f>IF('[1]p7'!$J$58&lt;&gt;0,'[1]p7'!$J$58,"")</f>
        <v>3</v>
      </c>
      <c r="S19" s="474"/>
    </row>
    <row r="20" spans="1:19" s="34" customFormat="1" ht="11.25">
      <c r="A20" s="387" t="str">
        <f>T('[1]p8'!$C$13:$G$13)</f>
        <v>Aparecido Jesuino de Souza</v>
      </c>
      <c r="B20" s="385"/>
      <c r="C20" s="385"/>
      <c r="D20" s="385"/>
      <c r="E20" s="401"/>
      <c r="F20" s="475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</row>
    <row r="21" spans="1:19" s="2" customFormat="1" ht="13.5" customHeight="1">
      <c r="A21" s="413" t="str">
        <f>IF('[1]p8'!$A$57&lt;&gt;0,'[1]p8'!$A$57,"")</f>
        <v>Equações Diferenciais (El+Compt)</v>
      </c>
      <c r="B21" s="413"/>
      <c r="C21" s="413"/>
      <c r="D21" s="413"/>
      <c r="E21" s="413"/>
      <c r="F21" s="474">
        <f>IF('[1]p8'!$F$57&lt;&gt;0,'[1]p8'!$F$57,"")</f>
        <v>60</v>
      </c>
      <c r="G21" s="474"/>
      <c r="H21" s="474">
        <f>IF('[1]p8'!$E$57&lt;&gt;0,'[1]p8'!$E$57,"")</f>
        <v>4</v>
      </c>
      <c r="I21" s="474"/>
      <c r="J21" s="474">
        <f>IF('[1]p8'!$I$57&lt;&gt;0,'[1]p8'!$I$57,"")</f>
        <v>54</v>
      </c>
      <c r="K21" s="474"/>
      <c r="L21" s="24"/>
      <c r="M21" s="474">
        <f>IF('[1]p8'!$K$57&lt;&gt;0,'[1]p8'!$K$57,"")</f>
        <v>8</v>
      </c>
      <c r="N21" s="474"/>
      <c r="O21" s="24"/>
      <c r="P21" s="24">
        <f>IF('[1]p8'!$L$57&lt;&gt;0,'[1]p8'!$L$57,"")</f>
        <v>11</v>
      </c>
      <c r="Q21" s="42"/>
      <c r="R21" s="474">
        <f>IF('[1]p8'!$J$57&lt;&gt;0,'[1]p8'!$J$57,"")</f>
        <v>35</v>
      </c>
      <c r="S21" s="474"/>
    </row>
    <row r="22" spans="1:19" s="2" customFormat="1" ht="13.5" customHeight="1">
      <c r="A22" s="413" t="str">
        <f>IF('[1]p8'!$A$58&lt;&gt;0,'[1]p8'!$A$58,"")</f>
        <v>Equações Diferenciais Ordinárias</v>
      </c>
      <c r="B22" s="413"/>
      <c r="C22" s="413"/>
      <c r="D22" s="413"/>
      <c r="E22" s="413"/>
      <c r="F22" s="474">
        <f>IF('[1]p8'!$F$58&lt;&gt;0,'[1]p8'!$F$58,"")</f>
        <v>60</v>
      </c>
      <c r="G22" s="474"/>
      <c r="H22" s="474">
        <f>IF('[1]p8'!$E$58&lt;&gt;0,'[1]p8'!$E$58,"")</f>
        <v>4</v>
      </c>
      <c r="I22" s="474"/>
      <c r="J22" s="474">
        <f>IF('[1]p8'!$I$58&lt;&gt;0,'[1]p8'!$I$58,"")</f>
        <v>7</v>
      </c>
      <c r="K22" s="474"/>
      <c r="L22" s="24"/>
      <c r="M22" s="474">
        <f>IF('[1]p8'!$K$58&lt;&gt;0,'[1]p8'!$K$58,"")</f>
        <v>2</v>
      </c>
      <c r="N22" s="474"/>
      <c r="O22" s="24"/>
      <c r="P22" s="24">
        <f>IF('[1]p8'!$L$58&lt;&gt;0,'[1]p8'!$L$58,"")</f>
        <v>2</v>
      </c>
      <c r="Q22" s="42"/>
      <c r="R22" s="474">
        <f>IF('[1]p8'!$J$58&lt;&gt;0,'[1]p8'!$J$58,"")</f>
        <v>3</v>
      </c>
      <c r="S22" s="474"/>
    </row>
    <row r="23" spans="1:19" s="34" customFormat="1" ht="11.25">
      <c r="A23" s="387" t="str">
        <f>T('[1]p9'!$C$13:$G$13)</f>
        <v>Bianca Morelli Casalvara Caretta</v>
      </c>
      <c r="B23" s="385"/>
      <c r="C23" s="385"/>
      <c r="D23" s="385"/>
      <c r="E23" s="401"/>
      <c r="F23" s="475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</row>
    <row r="24" spans="1:19" s="2" customFormat="1" ht="13.5" customHeight="1">
      <c r="A24" s="413" t="str">
        <f>IF('[1]p9'!$A$57&lt;&gt;0,'[1]p9'!$A$57,"")</f>
        <v>Análise I - T 02</v>
      </c>
      <c r="B24" s="413"/>
      <c r="C24" s="413"/>
      <c r="D24" s="413"/>
      <c r="E24" s="413"/>
      <c r="F24" s="474">
        <f>IF('[1]p9'!$F$57&lt;&gt;0,'[1]p9'!$F$57,"")</f>
        <v>54</v>
      </c>
      <c r="G24" s="474"/>
      <c r="H24" s="474">
        <f>IF('[1]p9'!$E$57&lt;&gt;0,'[1]p9'!$E$57,"")</f>
        <v>4</v>
      </c>
      <c r="I24" s="474"/>
      <c r="J24" s="474">
        <f>IF('[1]p9'!$I$57&lt;&gt;0,'[1]p9'!$I$57,"")</f>
      </c>
      <c r="K24" s="474"/>
      <c r="L24" s="24"/>
      <c r="M24" s="474">
        <f>IF('[1]p9'!$K$57&lt;&gt;0,'[1]p9'!$K$57,"")</f>
      </c>
      <c r="N24" s="474"/>
      <c r="O24" s="24"/>
      <c r="P24" s="24">
        <f>IF('[1]p9'!$L$57&lt;&gt;0,'[1]p9'!$L$57,"")</f>
      </c>
      <c r="Q24" s="42"/>
      <c r="R24" s="474">
        <f>IF('[1]p9'!$J$57&lt;&gt;0,'[1]p9'!$J$57,"")</f>
      </c>
      <c r="S24" s="474"/>
    </row>
    <row r="25" spans="1:19" s="2" customFormat="1" ht="13.5" customHeight="1">
      <c r="A25" s="413" t="str">
        <f>IF('[1]p9'!$A$58&lt;&gt;0,'[1]p9'!$A$58,"")</f>
        <v>Cálculo Difer. e Integral I (Comp.+Elétr.) - T 02</v>
      </c>
      <c r="B25" s="413"/>
      <c r="C25" s="413"/>
      <c r="D25" s="413"/>
      <c r="E25" s="413"/>
      <c r="F25" s="474">
        <f>IF('[1]p9'!$F$58&lt;&gt;0,'[1]p9'!$F$58,"")</f>
        <v>56</v>
      </c>
      <c r="G25" s="474"/>
      <c r="H25" s="474">
        <f>IF('[1]p9'!$E$58&lt;&gt;0,'[1]p9'!$E$58,"")</f>
        <v>4</v>
      </c>
      <c r="I25" s="474"/>
      <c r="J25" s="474">
        <f>IF('[1]p9'!$I$58&lt;&gt;0,'[1]p9'!$I$58,"")</f>
      </c>
      <c r="K25" s="474"/>
      <c r="L25" s="24"/>
      <c r="M25" s="474">
        <f>IF('[1]p9'!$K$58&lt;&gt;0,'[1]p9'!$K$58,"")</f>
      </c>
      <c r="N25" s="474"/>
      <c r="O25" s="24"/>
      <c r="P25" s="24">
        <f>IF('[1]p9'!$L$58&lt;&gt;0,'[1]p9'!$L$58,"")</f>
      </c>
      <c r="Q25" s="42"/>
      <c r="R25" s="474">
        <f>IF('[1]p9'!$J$58&lt;&gt;0,'[1]p9'!$J$58,"")</f>
      </c>
      <c r="S25" s="474"/>
    </row>
    <row r="26" spans="1:19" s="34" customFormat="1" ht="11.25">
      <c r="A26" s="387" t="str">
        <f>T('[1]p12'!$C$13:$G$13)</f>
        <v>Daniel Cordeiro de Morais Filho</v>
      </c>
      <c r="B26" s="385"/>
      <c r="C26" s="385"/>
      <c r="D26" s="385"/>
      <c r="E26" s="401"/>
      <c r="F26" s="475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</row>
    <row r="27" spans="1:19" s="2" customFormat="1" ht="13.5" customHeight="1">
      <c r="A27" s="413" t="str">
        <f>IF('[1]p12'!$A$57&lt;&gt;0,'[1]p12'!$A$57,"")</f>
        <v>Tópicos da História da Matemática - T 01</v>
      </c>
      <c r="B27" s="413"/>
      <c r="C27" s="413"/>
      <c r="D27" s="413"/>
      <c r="E27" s="413"/>
      <c r="F27" s="474">
        <f>IF('[1]p12'!$F$57&lt;&gt;0,'[1]p12'!$F$57,"")</f>
        <v>30</v>
      </c>
      <c r="G27" s="474"/>
      <c r="H27" s="474">
        <f>IF('[1]p12'!$E$57&lt;&gt;0,'[1]p12'!$E$57,"")</f>
        <v>4</v>
      </c>
      <c r="I27" s="474"/>
      <c r="J27" s="474">
        <f>IF('[1]p12'!$I$57&lt;&gt;0,'[1]p12'!$I$57,"")</f>
        <v>8</v>
      </c>
      <c r="K27" s="474"/>
      <c r="L27" s="24"/>
      <c r="M27" s="474">
        <f>IF('[1]p12'!$K$57&lt;&gt;0,'[1]p12'!$K$57,"")</f>
        <v>5</v>
      </c>
      <c r="N27" s="474"/>
      <c r="O27" s="24"/>
      <c r="P27" s="24">
        <f>IF('[1]p12'!$L$57&lt;&gt;0,'[1]p12'!$L$57,"")</f>
      </c>
      <c r="Q27" s="42"/>
      <c r="R27" s="474">
        <f>IF('[1]p12'!$J$57&lt;&gt;0,'[1]p12'!$J$57,"")</f>
        <v>3</v>
      </c>
      <c r="S27" s="474"/>
    </row>
    <row r="28" spans="1:19" s="34" customFormat="1" ht="11.25">
      <c r="A28" s="387" t="str">
        <f>T('[1]p13'!$C$13:$G$13)</f>
        <v>Florence Ayres Campello de Oliveira</v>
      </c>
      <c r="B28" s="385"/>
      <c r="C28" s="385"/>
      <c r="D28" s="385"/>
      <c r="E28" s="401"/>
      <c r="F28" s="475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</row>
    <row r="29" spans="1:19" s="2" customFormat="1" ht="13.5" customHeight="1">
      <c r="A29" s="413" t="str">
        <f>IF('[1]p13'!$A$57&lt;&gt;0,'[1]p13'!$A$57,"")</f>
        <v>Cálculo Diferencial e Integral I - T 02</v>
      </c>
      <c r="B29" s="413"/>
      <c r="C29" s="413"/>
      <c r="D29" s="413"/>
      <c r="E29" s="413"/>
      <c r="F29" s="474">
        <f>IF('[1]p13'!$F$57&lt;&gt;0,'[1]p13'!$F$57,"")</f>
        <v>90</v>
      </c>
      <c r="G29" s="474"/>
      <c r="H29" s="474">
        <f>IF('[1]p13'!$E$57&lt;&gt;0,'[1]p13'!$E$57,"")</f>
        <v>6</v>
      </c>
      <c r="I29" s="474"/>
      <c r="J29" s="474">
        <f>IF('[1]p13'!$I$57&lt;&gt;0,'[1]p13'!$I$57,"")</f>
        <v>60</v>
      </c>
      <c r="K29" s="474"/>
      <c r="L29" s="24"/>
      <c r="M29" s="474">
        <f>IF('[1]p13'!$K$57&lt;&gt;0,'[1]p13'!$K$57,"")</f>
        <v>10</v>
      </c>
      <c r="N29" s="474"/>
      <c r="O29" s="24"/>
      <c r="P29" s="24">
        <f>IF('[1]p13'!$L$57&lt;&gt;0,'[1]p13'!$L$57,"")</f>
        <v>32</v>
      </c>
      <c r="Q29" s="42"/>
      <c r="R29" s="474">
        <f>IF('[1]p13'!$J$57&lt;&gt;0,'[1]p13'!$J$57,"")</f>
        <v>18</v>
      </c>
      <c r="S29" s="474"/>
    </row>
    <row r="30" spans="1:19" s="2" customFormat="1" ht="13.5" customHeight="1">
      <c r="A30" s="413" t="str">
        <f>IF('[1]p13'!$A$58&lt;&gt;0,'[1]p13'!$A$58,"")</f>
        <v>Fundamentos da Geometria Euclidiana - T 01</v>
      </c>
      <c r="B30" s="413"/>
      <c r="C30" s="413"/>
      <c r="D30" s="413"/>
      <c r="E30" s="413"/>
      <c r="F30" s="474">
        <f>IF('[1]p13'!$F$58&lt;&gt;0,'[1]p13'!$F$58,"")</f>
        <v>90</v>
      </c>
      <c r="G30" s="474"/>
      <c r="H30" s="474">
        <f>IF('[1]p13'!$E$58&lt;&gt;0,'[1]p13'!$E$58,"")</f>
        <v>5</v>
      </c>
      <c r="I30" s="474"/>
      <c r="J30" s="474">
        <f>IF('[1]p13'!$I$58&lt;&gt;0,'[1]p13'!$I$58,"")</f>
        <v>14</v>
      </c>
      <c r="K30" s="474"/>
      <c r="L30" s="24"/>
      <c r="M30" s="474">
        <f>IF('[1]p13'!$K$58&lt;&gt;0,'[1]p13'!$K$58,"")</f>
        <v>1</v>
      </c>
      <c r="N30" s="474"/>
      <c r="O30" s="24"/>
      <c r="P30" s="24">
        <f>IF('[1]p13'!$L$58&lt;&gt;0,'[1]p13'!$L$58,"")</f>
      </c>
      <c r="Q30" s="42"/>
      <c r="R30" s="474">
        <f>IF('[1]p13'!$J$58&lt;&gt;0,'[1]p13'!$J$58,"")</f>
        <v>13</v>
      </c>
      <c r="S30" s="474"/>
    </row>
    <row r="31" spans="1:19" s="34" customFormat="1" ht="11.25">
      <c r="A31" s="387" t="str">
        <f>T('[1]p14'!$C$13:$G$13)</f>
        <v>Francisco Antônio Morais de Souza</v>
      </c>
      <c r="B31" s="385"/>
      <c r="C31" s="385"/>
      <c r="D31" s="385"/>
      <c r="E31" s="401"/>
      <c r="F31" s="475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</row>
    <row r="32" spans="1:19" s="2" customFormat="1" ht="13.5" customHeight="1">
      <c r="A32" s="413" t="str">
        <f>IF('[1]p14'!$A$57&lt;&gt;0,'[1]p14'!$A$57,"")</f>
        <v>Estatística Aplicada às Ciências Sociais I - T 01</v>
      </c>
      <c r="B32" s="413"/>
      <c r="C32" s="413"/>
      <c r="D32" s="413"/>
      <c r="E32" s="413"/>
      <c r="F32" s="474">
        <f>IF('[1]p14'!$F$57&lt;&gt;0,'[1]p14'!$F$57,"")</f>
        <v>60</v>
      </c>
      <c r="G32" s="474"/>
      <c r="H32" s="474">
        <f>IF('[1]p14'!$E$57&lt;&gt;0,'[1]p14'!$E$57,"")</f>
        <v>4</v>
      </c>
      <c r="I32" s="474"/>
      <c r="J32" s="474">
        <f>IF('[1]p14'!$I$57&lt;&gt;0,'[1]p14'!$I$57,"")</f>
        <v>33</v>
      </c>
      <c r="K32" s="474"/>
      <c r="L32" s="24"/>
      <c r="M32" s="474">
        <f>IF('[1]p14'!$K$57&lt;&gt;0,'[1]p14'!$K$57,"")</f>
        <v>2</v>
      </c>
      <c r="N32" s="474"/>
      <c r="O32" s="24"/>
      <c r="P32" s="24">
        <f>IF('[1]p14'!$L$57&lt;&gt;0,'[1]p14'!$L$57,"")</f>
        <v>3</v>
      </c>
      <c r="Q32" s="42"/>
      <c r="R32" s="474">
        <f>IF('[1]p14'!$J$57&lt;&gt;0,'[1]p14'!$J$57,"")</f>
        <v>28</v>
      </c>
      <c r="S32" s="474"/>
    </row>
    <row r="33" spans="1:19" s="2" customFormat="1" ht="13.5" customHeight="1">
      <c r="A33" s="413" t="str">
        <f>IF('[1]p14'!$A$58&lt;&gt;0,'[1]p14'!$A$58,"")</f>
        <v>Inferência Estatística - T 01</v>
      </c>
      <c r="B33" s="413"/>
      <c r="C33" s="413"/>
      <c r="D33" s="413"/>
      <c r="E33" s="413"/>
      <c r="F33" s="474">
        <f>IF('[1]p14'!$F$58&lt;&gt;0,'[1]p14'!$F$58,"")</f>
        <v>60</v>
      </c>
      <c r="G33" s="474"/>
      <c r="H33" s="474">
        <f>IF('[1]p14'!$E$58&lt;&gt;0,'[1]p14'!$E$58,"")</f>
        <v>4</v>
      </c>
      <c r="I33" s="474"/>
      <c r="J33" s="474">
        <f>IF('[1]p14'!$I$58&lt;&gt;0,'[1]p14'!$I$58,"")</f>
        <v>47</v>
      </c>
      <c r="K33" s="474"/>
      <c r="L33" s="24"/>
      <c r="M33" s="474">
        <f>IF('[1]p14'!$K$58&lt;&gt;0,'[1]p14'!$K$58,"")</f>
        <v>9</v>
      </c>
      <c r="N33" s="474"/>
      <c r="O33" s="24"/>
      <c r="P33" s="24">
        <f>IF('[1]p14'!$L$58&lt;&gt;0,'[1]p14'!$L$58,"")</f>
        <v>9</v>
      </c>
      <c r="Q33" s="42"/>
      <c r="R33" s="474">
        <f>IF('[1]p14'!$J$58&lt;&gt;0,'[1]p14'!$J$58,"")</f>
        <v>29</v>
      </c>
      <c r="S33" s="474"/>
    </row>
    <row r="34" spans="1:19" s="34" customFormat="1" ht="11.25">
      <c r="A34" s="387" t="str">
        <f>T('[1]p15'!$C$13:$G$13)</f>
        <v>Francisco Júlio Sobreira de A. Corrêa</v>
      </c>
      <c r="B34" s="385"/>
      <c r="C34" s="385"/>
      <c r="D34" s="385"/>
      <c r="E34" s="401"/>
      <c r="F34" s="475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</row>
    <row r="35" spans="1:19" s="2" customFormat="1" ht="13.5" customHeight="1">
      <c r="A35" s="413" t="str">
        <f>IF('[1]p15'!$A$57&lt;&gt;0,'[1]p15'!$A$57,"")</f>
        <v>Análise II - T 01</v>
      </c>
      <c r="B35" s="413"/>
      <c r="C35" s="413"/>
      <c r="D35" s="413"/>
      <c r="E35" s="413"/>
      <c r="F35" s="474">
        <f>IF('[1]p15'!$F$57&lt;&gt;0,'[1]p15'!$F$57,"")</f>
        <v>60</v>
      </c>
      <c r="G35" s="474"/>
      <c r="H35" s="474">
        <f>IF('[1]p15'!$E$57&lt;&gt;0,'[1]p15'!$E$57,"")</f>
        <v>4</v>
      </c>
      <c r="I35" s="474"/>
      <c r="J35" s="474">
        <f>IF('[1]p15'!$I$57&lt;&gt;0,'[1]p15'!$I$57,"")</f>
        <v>11</v>
      </c>
      <c r="K35" s="474"/>
      <c r="L35" s="24"/>
      <c r="M35" s="474">
        <f>IF('[1]p15'!$K$57&lt;&gt;0,'[1]p15'!$K$57,"")</f>
        <v>4</v>
      </c>
      <c r="N35" s="474"/>
      <c r="O35" s="24"/>
      <c r="P35" s="24">
        <f>IF('[1]p15'!$L$57&lt;&gt;0,'[1]p15'!$L$57,"")</f>
      </c>
      <c r="Q35" s="42"/>
      <c r="R35" s="474">
        <f>IF('[1]p15'!$J$57&lt;&gt;0,'[1]p15'!$J$57,"")</f>
        <v>7</v>
      </c>
      <c r="S35" s="474"/>
    </row>
    <row r="36" spans="1:19" s="2" customFormat="1" ht="13.5" customHeight="1">
      <c r="A36" s="413" t="str">
        <f>IF('[1]p15'!$A$58&lt;&gt;0,'[1]p15'!$A$58,"")</f>
        <v>Cálculo Diferencial e Integral I - T 07</v>
      </c>
      <c r="B36" s="413"/>
      <c r="C36" s="413"/>
      <c r="D36" s="413"/>
      <c r="E36" s="413"/>
      <c r="F36" s="474">
        <f>IF('[1]p15'!$F$58&lt;&gt;0,'[1]p15'!$F$58,"")</f>
        <v>90</v>
      </c>
      <c r="G36" s="474"/>
      <c r="H36" s="474">
        <f>IF('[1]p15'!$E$58&lt;&gt;0,'[1]p15'!$E$58,"")</f>
        <v>6</v>
      </c>
      <c r="I36" s="474"/>
      <c r="J36" s="474">
        <f>IF('[1]p15'!$I$58&lt;&gt;0,'[1]p15'!$I$58,"")</f>
        <v>60</v>
      </c>
      <c r="K36" s="474"/>
      <c r="L36" s="24"/>
      <c r="M36" s="474">
        <f>IF('[1]p15'!$K$58&lt;&gt;0,'[1]p15'!$K$58,"")</f>
        <v>18</v>
      </c>
      <c r="N36" s="474"/>
      <c r="O36" s="24"/>
      <c r="P36" s="24">
        <f>IF('[1]p15'!$L$58&lt;&gt;0,'[1]p15'!$L$58,"")</f>
        <v>30</v>
      </c>
      <c r="Q36" s="42"/>
      <c r="R36" s="474">
        <f>IF('[1]p15'!$J$58&lt;&gt;0,'[1]p15'!$J$58,"")</f>
        <v>12</v>
      </c>
      <c r="S36" s="474"/>
    </row>
    <row r="37" spans="1:19" s="34" customFormat="1" ht="11.25">
      <c r="A37" s="382" t="str">
        <f>T('[1]p16'!$C$13:$G$13)</f>
        <v>Gilberto da Silva Matos</v>
      </c>
      <c r="B37" s="381"/>
      <c r="C37" s="381"/>
      <c r="D37" s="381"/>
      <c r="E37" s="384"/>
      <c r="F37" s="475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</row>
    <row r="38" spans="1:19" s="2" customFormat="1" ht="13.5" customHeight="1">
      <c r="A38" s="413" t="str">
        <f>IF('[1]p16'!$A$57&lt;&gt;0,'[1]p16'!$A$57,"")</f>
        <v>Métodos Quantitativos III - T 01</v>
      </c>
      <c r="B38" s="413"/>
      <c r="C38" s="413"/>
      <c r="D38" s="413"/>
      <c r="E38" s="413"/>
      <c r="F38" s="474">
        <f>IF('[1]p16'!$F$57&lt;&gt;0,'[1]p16'!$F$57,"")</f>
        <v>60</v>
      </c>
      <c r="G38" s="474"/>
      <c r="H38" s="474">
        <f>IF('[1]p16'!$E$57&lt;&gt;0,'[1]p16'!$E$57,"")</f>
        <v>4</v>
      </c>
      <c r="I38" s="474"/>
      <c r="J38" s="474">
        <f>IF('[1]p16'!$I$57&lt;&gt;0,'[1]p16'!$I$57,"")</f>
        <v>26</v>
      </c>
      <c r="K38" s="474"/>
      <c r="L38" s="24"/>
      <c r="M38" s="474">
        <f>IF('[1]p16'!$K$57&lt;&gt;0,'[1]p16'!$K$57,"")</f>
        <v>13</v>
      </c>
      <c r="N38" s="474"/>
      <c r="O38" s="24"/>
      <c r="P38" s="24">
        <f>IF('[1]p16'!$L$57&lt;&gt;0,'[1]p16'!$L$57,"")</f>
        <v>2</v>
      </c>
      <c r="Q38" s="42"/>
      <c r="R38" s="474">
        <f>IF('[1]p16'!$J$57&lt;&gt;0,'[1]p16'!$J$57,"")</f>
        <v>11</v>
      </c>
      <c r="S38" s="474"/>
    </row>
    <row r="39" spans="1:19" s="2" customFormat="1" ht="13.5" customHeight="1">
      <c r="A39" s="413" t="str">
        <f>IF('[1]p16'!$A$58&lt;&gt;0,'[1]p16'!$A$58,"")</f>
        <v>Pesquisa Operacional - T 01</v>
      </c>
      <c r="B39" s="413"/>
      <c r="C39" s="413"/>
      <c r="D39" s="413"/>
      <c r="E39" s="413"/>
      <c r="F39" s="474">
        <f>IF('[1]p16'!$F$58&lt;&gt;0,'[1]p16'!$F$58,"")</f>
        <v>60</v>
      </c>
      <c r="G39" s="474"/>
      <c r="H39" s="474">
        <f>IF('[1]p16'!$E$58&lt;&gt;0,'[1]p16'!$E$58,"")</f>
        <v>4</v>
      </c>
      <c r="I39" s="474"/>
      <c r="J39" s="474">
        <f>IF('[1]p16'!$I$58&lt;&gt;0,'[1]p16'!$I$58,"")</f>
        <v>48</v>
      </c>
      <c r="K39" s="474"/>
      <c r="L39" s="24"/>
      <c r="M39" s="474">
        <f>IF('[1]p16'!$K$58&lt;&gt;0,'[1]p16'!$K$58,"")</f>
        <v>2</v>
      </c>
      <c r="N39" s="474"/>
      <c r="O39" s="24"/>
      <c r="P39" s="24">
        <f>IF('[1]p16'!$L$58&lt;&gt;0,'[1]p16'!$L$58,"")</f>
      </c>
      <c r="Q39" s="42"/>
      <c r="R39" s="474">
        <f>IF('[1]p16'!$J$58&lt;&gt;0,'[1]p16'!$J$58,"")</f>
        <v>46</v>
      </c>
      <c r="S39" s="474"/>
    </row>
    <row r="40" spans="1:19" s="34" customFormat="1" ht="11.25">
      <c r="A40" s="387" t="str">
        <f>T('[1]p17'!$C$13:$G$13)</f>
        <v>Henrique Fernandes de Lima</v>
      </c>
      <c r="B40" s="385"/>
      <c r="C40" s="385"/>
      <c r="D40" s="385"/>
      <c r="E40" s="401"/>
      <c r="F40" s="475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</row>
    <row r="41" spans="1:19" s="2" customFormat="1" ht="13.5" customHeight="1">
      <c r="A41" s="413" t="str">
        <f>IF('[1]p17'!$A$57&lt;&gt;0,'[1]p17'!$A$57,"")</f>
        <v>Álgebra Vetorial e Geometria Analítica - T 04</v>
      </c>
      <c r="B41" s="413"/>
      <c r="C41" s="413"/>
      <c r="D41" s="413"/>
      <c r="E41" s="413"/>
      <c r="F41" s="474">
        <f>IF('[1]p17'!$F$57&lt;&gt;0,'[1]p17'!$F$57,"")</f>
        <v>60</v>
      </c>
      <c r="G41" s="474"/>
      <c r="H41" s="474">
        <f>IF('[1]p17'!$E$57&lt;&gt;0,'[1]p17'!$E$57,"")</f>
        <v>4</v>
      </c>
      <c r="I41" s="474"/>
      <c r="J41" s="474">
        <f>IF('[1]p17'!$I$57&lt;&gt;0,'[1]p17'!$I$57,"")</f>
        <v>60</v>
      </c>
      <c r="K41" s="474"/>
      <c r="L41" s="24"/>
      <c r="M41" s="474">
        <f>IF('[1]p17'!$K$57&lt;&gt;0,'[1]p17'!$K$57,"")</f>
        <v>10</v>
      </c>
      <c r="N41" s="474"/>
      <c r="O41" s="24"/>
      <c r="P41" s="24">
        <f>IF('[1]p17'!$L$57&lt;&gt;0,'[1]p17'!$L$57,"")</f>
        <v>16</v>
      </c>
      <c r="Q41" s="42"/>
      <c r="R41" s="474">
        <f>IF('[1]p17'!$J$57&lt;&gt;0,'[1]p17'!$J$57,"")</f>
        <v>34</v>
      </c>
      <c r="S41" s="474"/>
    </row>
    <row r="42" spans="1:19" s="2" customFormat="1" ht="13.5" customHeight="1">
      <c r="A42" s="413" t="str">
        <f>IF('[1]p17'!$A$58&lt;&gt;0,'[1]p17'!$A$58,"")</f>
        <v>Álgebra Vetorial e Geometria Analítica - T 07</v>
      </c>
      <c r="B42" s="413"/>
      <c r="C42" s="413"/>
      <c r="D42" s="413"/>
      <c r="E42" s="413"/>
      <c r="F42" s="474">
        <f>IF('[1]p17'!$F$58&lt;&gt;0,'[1]p17'!$F$58,"")</f>
        <v>60</v>
      </c>
      <c r="G42" s="474"/>
      <c r="H42" s="474">
        <f>IF('[1]p17'!$E$58&lt;&gt;0,'[1]p17'!$E$58,"")</f>
        <v>4</v>
      </c>
      <c r="I42" s="474"/>
      <c r="J42" s="474">
        <f>IF('[1]p17'!$I$58&lt;&gt;0,'[1]p17'!$I$58,"")</f>
        <v>60</v>
      </c>
      <c r="K42" s="474"/>
      <c r="L42" s="24"/>
      <c r="M42" s="474">
        <f>IF('[1]p17'!$K$58&lt;&gt;0,'[1]p17'!$K$58,"")</f>
        <v>11</v>
      </c>
      <c r="N42" s="474"/>
      <c r="O42" s="24"/>
      <c r="P42" s="24">
        <f>IF('[1]p17'!$L$58&lt;&gt;0,'[1]p17'!$L$58,"")</f>
        <v>26</v>
      </c>
      <c r="Q42" s="42"/>
      <c r="R42" s="474">
        <f>IF('[1]p17'!$J$58&lt;&gt;0,'[1]p17'!$J$58,"")</f>
        <v>23</v>
      </c>
      <c r="S42" s="474"/>
    </row>
    <row r="43" spans="1:19" s="34" customFormat="1" ht="11.25">
      <c r="A43" s="387" t="str">
        <f>T('[1]p18'!$C$13:$G$13)</f>
        <v>Izabel Maria Barbosa de Albuquerque</v>
      </c>
      <c r="B43" s="385"/>
      <c r="C43" s="385"/>
      <c r="D43" s="385"/>
      <c r="E43" s="401"/>
      <c r="F43" s="475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</row>
    <row r="44" spans="1:19" s="2" customFormat="1" ht="13.5" customHeight="1">
      <c r="A44" s="413" t="str">
        <f>IF('[1]p18'!$A$57&lt;&gt;0,'[1]p18'!$A$57,"")</f>
        <v>Prática para o Ensino da Matemática I - T 01</v>
      </c>
      <c r="B44" s="413"/>
      <c r="C44" s="413"/>
      <c r="D44" s="413"/>
      <c r="E44" s="413"/>
      <c r="F44" s="474">
        <f>IF('[1]p18'!$F$57&lt;&gt;0,'[1]p18'!$F$57,"")</f>
        <v>90</v>
      </c>
      <c r="G44" s="474"/>
      <c r="H44" s="474">
        <f>IF('[1]p18'!$E$57&lt;&gt;0,'[1]p18'!$E$57,"")</f>
        <v>4</v>
      </c>
      <c r="I44" s="474"/>
      <c r="J44" s="474">
        <f>IF('[1]p18'!$I$57&lt;&gt;0,'[1]p18'!$I$57,"")</f>
        <v>8</v>
      </c>
      <c r="K44" s="474"/>
      <c r="L44" s="24"/>
      <c r="M44" s="474">
        <f>IF('[1]p18'!$K$57&lt;&gt;0,'[1]p18'!$K$57,"")</f>
      </c>
      <c r="N44" s="474"/>
      <c r="O44" s="24"/>
      <c r="P44" s="24">
        <f>IF('[1]p18'!$L$57&lt;&gt;0,'[1]p18'!$L$57,"")</f>
      </c>
      <c r="Q44" s="42"/>
      <c r="R44" s="474">
        <f>IF('[1]p18'!$J$57&lt;&gt;0,'[1]p18'!$J$57,"")</f>
        <v>8</v>
      </c>
      <c r="S44" s="474"/>
    </row>
    <row r="45" spans="1:19" s="2" customFormat="1" ht="13.5" customHeight="1">
      <c r="A45" s="413" t="str">
        <f>IF('[1]p18'!$A$58&lt;&gt;0,'[1]p18'!$A$58,"")</f>
        <v>Prática para o Ensino da Matemática II - T 01</v>
      </c>
      <c r="B45" s="413"/>
      <c r="C45" s="413"/>
      <c r="D45" s="413"/>
      <c r="E45" s="413"/>
      <c r="F45" s="474">
        <f>IF('[1]p18'!$F$58&lt;&gt;0,'[1]p18'!$F$58,"")</f>
        <v>90</v>
      </c>
      <c r="G45" s="474"/>
      <c r="H45" s="474">
        <f>IF('[1]p18'!$E$58&lt;&gt;0,'[1]p18'!$E$58,"")</f>
        <v>4</v>
      </c>
      <c r="I45" s="474"/>
      <c r="J45" s="474">
        <f>IF('[1]p18'!$I$58&lt;&gt;0,'[1]p18'!$I$58,"")</f>
        <v>15</v>
      </c>
      <c r="K45" s="474"/>
      <c r="L45" s="24"/>
      <c r="M45" s="474">
        <f>IF('[1]p18'!$K$58&lt;&gt;0,'[1]p18'!$K$58,"")</f>
        <v>1</v>
      </c>
      <c r="N45" s="474"/>
      <c r="O45" s="24"/>
      <c r="P45" s="24">
        <f>IF('[1]p18'!$L$58&lt;&gt;0,'[1]p18'!$L$58,"")</f>
      </c>
      <c r="Q45" s="42"/>
      <c r="R45" s="474">
        <f>IF('[1]p18'!$J$58&lt;&gt;0,'[1]p18'!$J$58,"")</f>
        <v>14</v>
      </c>
      <c r="S45" s="474"/>
    </row>
    <row r="46" spans="1:19" s="34" customFormat="1" ht="11.25">
      <c r="A46" s="387" t="str">
        <f>T('[1]p48'!$C$13:$G$13)</f>
        <v>Jaime Alves Barbosa Sobrinho</v>
      </c>
      <c r="B46" s="385"/>
      <c r="C46" s="385"/>
      <c r="D46" s="385"/>
      <c r="E46" s="401"/>
      <c r="F46" s="475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</row>
    <row r="47" spans="1:19" s="2" customFormat="1" ht="13.5" customHeight="1">
      <c r="A47" s="413" t="str">
        <f>IF('[1]p48'!$A$57&lt;&gt;0,'[1]p48'!$A$57,"")</f>
        <v>Cálculo Diferencial e Integral III - T 03</v>
      </c>
      <c r="B47" s="413"/>
      <c r="C47" s="413"/>
      <c r="D47" s="413"/>
      <c r="E47" s="413"/>
      <c r="F47" s="474">
        <f>IF('[1]p48'!$F$57&lt;&gt;0,'[1]p48'!$F$57,"")</f>
        <v>90</v>
      </c>
      <c r="G47" s="474"/>
      <c r="H47" s="474">
        <f>IF('[1]p48'!$E$57&lt;&gt;0,'[1]p48'!$E$57,"")</f>
        <v>6</v>
      </c>
      <c r="I47" s="474"/>
      <c r="J47" s="474">
        <f>IF('[1]p48'!$I$57&lt;&gt;0,'[1]p48'!$I$57,"")</f>
        <v>20</v>
      </c>
      <c r="K47" s="474"/>
      <c r="L47" s="24"/>
      <c r="M47" s="474">
        <f>IF('[1]p48'!$K$57&lt;&gt;0,'[1]p48'!$K$57,"")</f>
        <v>7</v>
      </c>
      <c r="N47" s="474"/>
      <c r="O47" s="24"/>
      <c r="P47" s="24">
        <f>IF('[1]p48'!$L$57&lt;&gt;0,'[1]p48'!$L$57,"")</f>
        <v>4</v>
      </c>
      <c r="Q47" s="42"/>
      <c r="R47" s="474">
        <f>IF('[1]p48'!$J$57&lt;&gt;0,'[1]p48'!$J$57,"")</f>
        <v>9</v>
      </c>
      <c r="S47" s="474"/>
    </row>
    <row r="48" spans="1:19" s="34" customFormat="1" ht="11.25">
      <c r="A48" s="387" t="str">
        <f>T('[1]p19'!$C$13:$G$13)</f>
        <v>Jesualdo Gomes das Chagas</v>
      </c>
      <c r="B48" s="385"/>
      <c r="C48" s="385"/>
      <c r="D48" s="385"/>
      <c r="E48" s="401"/>
      <c r="F48" s="475"/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</row>
    <row r="49" spans="1:19" s="2" customFormat="1" ht="13.5" customHeight="1">
      <c r="A49" s="413" t="str">
        <f>IF('[1]p19'!$A$57&lt;&gt;0,'[1]p19'!$A$57,"")</f>
        <v>Álgebra Vetorial e Geometria Analítica - T 02</v>
      </c>
      <c r="B49" s="413"/>
      <c r="C49" s="413"/>
      <c r="D49" s="413"/>
      <c r="E49" s="413"/>
      <c r="F49" s="474">
        <f>IF('[1]p19'!$F$57&lt;&gt;0,'[1]p19'!$F$57,"")</f>
        <v>60</v>
      </c>
      <c r="G49" s="474"/>
      <c r="H49" s="474">
        <f>IF('[1]p19'!$E$57&lt;&gt;0,'[1]p19'!$E$57,"")</f>
        <v>4</v>
      </c>
      <c r="I49" s="474"/>
      <c r="J49" s="474">
        <f>IF('[1]p19'!$I$57&lt;&gt;0,'[1]p19'!$I$57,"")</f>
        <v>60</v>
      </c>
      <c r="K49" s="474"/>
      <c r="L49" s="24"/>
      <c r="M49" s="474">
        <f>IF('[1]p19'!$K$57&lt;&gt;0,'[1]p19'!$K$57,"")</f>
        <v>7</v>
      </c>
      <c r="N49" s="474"/>
      <c r="O49" s="24"/>
      <c r="P49" s="24">
        <f>IF('[1]p19'!$L$57&lt;&gt;0,'[1]p19'!$L$57,"")</f>
        <v>20</v>
      </c>
      <c r="Q49" s="42"/>
      <c r="R49" s="474">
        <f>IF('[1]p19'!$J$57&lt;&gt;0,'[1]p19'!$J$57,"")</f>
        <v>33</v>
      </c>
      <c r="S49" s="474"/>
    </row>
    <row r="50" spans="1:19" s="2" customFormat="1" ht="13.5" customHeight="1">
      <c r="A50" s="413" t="str">
        <f>IF('[1]p19'!$A$58&lt;&gt;0,'[1]p19'!$A$58,"")</f>
        <v>Álgebra Vetorial e Geometria Analítica - T 09</v>
      </c>
      <c r="B50" s="413"/>
      <c r="C50" s="413"/>
      <c r="D50" s="413"/>
      <c r="E50" s="413"/>
      <c r="F50" s="474">
        <f>IF('[1]p19'!$F$58&lt;&gt;0,'[1]p19'!$F$58,"")</f>
        <v>60</v>
      </c>
      <c r="G50" s="474"/>
      <c r="H50" s="474">
        <f>IF('[1]p19'!$E$58&lt;&gt;0,'[1]p19'!$E$58,"")</f>
        <v>4</v>
      </c>
      <c r="I50" s="474"/>
      <c r="J50" s="474">
        <f>IF('[1]p19'!$I$58&lt;&gt;0,'[1]p19'!$I$58,"")</f>
        <v>56</v>
      </c>
      <c r="K50" s="474"/>
      <c r="L50" s="24"/>
      <c r="M50" s="474">
        <f>IF('[1]p19'!$K$58&lt;&gt;0,'[1]p19'!$K$58,"")</f>
        <v>20</v>
      </c>
      <c r="N50" s="474"/>
      <c r="O50" s="24"/>
      <c r="P50" s="24">
        <f>IF('[1]p19'!$L$58&lt;&gt;0,'[1]p19'!$L$58,"")</f>
        <v>16</v>
      </c>
      <c r="Q50" s="42"/>
      <c r="R50" s="474">
        <f>IF('[1]p19'!$J$58&lt;&gt;0,'[1]p19'!$J$58,"")</f>
        <v>20</v>
      </c>
      <c r="S50" s="474"/>
    </row>
    <row r="51" spans="1:19" s="2" customFormat="1" ht="13.5" customHeight="1">
      <c r="A51" s="413" t="str">
        <f>IF('[1]p19'!$A$59&lt;&gt;0,'[1]p19'!$A$59,"")</f>
        <v>Análise I - T 01</v>
      </c>
      <c r="B51" s="413"/>
      <c r="C51" s="413"/>
      <c r="D51" s="413"/>
      <c r="E51" s="413"/>
      <c r="F51" s="474">
        <f>IF('[1]p19'!$F$59&lt;&gt;0,'[1]p19'!$F$59,"")</f>
        <v>60</v>
      </c>
      <c r="G51" s="474"/>
      <c r="H51" s="474">
        <f>IF('[1]p19'!$E$59&lt;&gt;0,'[1]p19'!$E$59,"")</f>
        <v>4</v>
      </c>
      <c r="I51" s="474"/>
      <c r="J51" s="474">
        <f>IF('[1]p19'!$I$59&lt;&gt;0,'[1]p19'!$I$59,"")</f>
        <v>12</v>
      </c>
      <c r="K51" s="474"/>
      <c r="L51" s="24"/>
      <c r="M51" s="474">
        <f>IF('[1]p19'!$K$59&lt;&gt;0,'[1]p19'!$K$59,"")</f>
        <v>2</v>
      </c>
      <c r="N51" s="474"/>
      <c r="O51" s="24"/>
      <c r="P51" s="24">
        <f>IF('[1]p19'!$L$59&lt;&gt;0,'[1]p19'!$L$59,"")</f>
        <v>1</v>
      </c>
      <c r="Q51" s="42"/>
      <c r="R51" s="474">
        <f>IF('[1]p19'!$J$59&lt;&gt;0,'[1]p19'!$J$59,"")</f>
        <v>9</v>
      </c>
      <c r="S51" s="474"/>
    </row>
    <row r="52" spans="1:19" s="34" customFormat="1" ht="11.25">
      <c r="A52" s="387" t="str">
        <f>T('[1]p20'!$C$13:$G$13)</f>
        <v>José de Arimatéia Fernandes</v>
      </c>
      <c r="B52" s="385"/>
      <c r="C52" s="385"/>
      <c r="D52" s="385"/>
      <c r="E52" s="401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</row>
    <row r="53" spans="1:19" s="2" customFormat="1" ht="13.5" customHeight="1">
      <c r="A53" s="413" t="str">
        <f>IF('[1]p20'!$A$57&lt;&gt;0,'[1]p20'!$A$57,"")</f>
        <v>Cálculo Diferencial e Integral II - T 05</v>
      </c>
      <c r="B53" s="413"/>
      <c r="C53" s="413"/>
      <c r="D53" s="413"/>
      <c r="E53" s="413"/>
      <c r="F53" s="474">
        <f>IF('[1]p20'!$F$57&lt;&gt;0,'[1]p20'!$F$57,"")</f>
        <v>60</v>
      </c>
      <c r="G53" s="474"/>
      <c r="H53" s="474">
        <f>IF('[1]p20'!$E$57&lt;&gt;0,'[1]p20'!$E$57,"")</f>
        <v>4</v>
      </c>
      <c r="I53" s="474"/>
      <c r="J53" s="474">
        <f>IF('[1]p20'!$I$57&lt;&gt;0,'[1]p20'!$I$57,"")</f>
        <v>22</v>
      </c>
      <c r="K53" s="474"/>
      <c r="L53" s="24"/>
      <c r="M53" s="474">
        <f>IF('[1]p20'!$K$57&lt;&gt;0,'[1]p20'!$K$57,"")</f>
        <v>3</v>
      </c>
      <c r="N53" s="474"/>
      <c r="O53" s="24"/>
      <c r="P53" s="24">
        <f>IF('[1]p20'!$L$57&lt;&gt;0,'[1]p20'!$L$57,"")</f>
      </c>
      <c r="Q53" s="42"/>
      <c r="R53" s="474">
        <f>IF('[1]p20'!$J$57&lt;&gt;0,'[1]p20'!$J$57,"")</f>
        <v>19</v>
      </c>
      <c r="S53" s="474"/>
    </row>
    <row r="54" spans="1:19" s="2" customFormat="1" ht="13.5" customHeight="1">
      <c r="A54" s="413" t="str">
        <f>IF('[1]p20'!$A$58&lt;&gt;0,'[1]p20'!$A$58,"")</f>
        <v>Fundamentos de Matemática Elementar I - T 01</v>
      </c>
      <c r="B54" s="413"/>
      <c r="C54" s="413"/>
      <c r="D54" s="413"/>
      <c r="E54" s="413"/>
      <c r="F54" s="474">
        <f>IF('[1]p20'!$F$58&lt;&gt;0,'[1]p20'!$F$58,"")</f>
        <v>60</v>
      </c>
      <c r="G54" s="474"/>
      <c r="H54" s="474">
        <f>IF('[1]p20'!$E$58&lt;&gt;0,'[1]p20'!$E$58,"")</f>
        <v>4</v>
      </c>
      <c r="I54" s="474"/>
      <c r="J54" s="474">
        <f>IF('[1]p20'!$I$58&lt;&gt;0,'[1]p20'!$I$58,"")</f>
        <v>28</v>
      </c>
      <c r="K54" s="474"/>
      <c r="L54" s="24"/>
      <c r="M54" s="474">
        <f>IF('[1]p20'!$K$58&lt;&gt;0,'[1]p20'!$K$58,"")</f>
        <v>10</v>
      </c>
      <c r="N54" s="474"/>
      <c r="O54" s="24"/>
      <c r="P54" s="24">
        <f>IF('[1]p20'!$L$58&lt;&gt;0,'[1]p20'!$L$58,"")</f>
        <v>1</v>
      </c>
      <c r="Q54" s="42"/>
      <c r="R54" s="474">
        <f>IF('[1]p20'!$J$58&lt;&gt;0,'[1]p20'!$J$58,"")</f>
        <v>17</v>
      </c>
      <c r="S54" s="474"/>
    </row>
    <row r="55" spans="1:19" s="2" customFormat="1" ht="13.5" customHeight="1">
      <c r="A55" s="413" t="str">
        <f>IF('[1]p20'!$A$59&lt;&gt;0,'[1]p20'!$A$59,"")</f>
        <v>Fundamentos de Matemática Elementar I - T 02</v>
      </c>
      <c r="B55" s="413"/>
      <c r="C55" s="413"/>
      <c r="D55" s="413"/>
      <c r="E55" s="413"/>
      <c r="F55" s="474">
        <f>IF('[1]p20'!$F$59&lt;&gt;0,'[1]p20'!$F$59,"")</f>
        <v>60</v>
      </c>
      <c r="G55" s="474"/>
      <c r="H55" s="474">
        <f>IF('[1]p20'!$E$59&lt;&gt;0,'[1]p20'!$E$59,"")</f>
        <v>4</v>
      </c>
      <c r="I55" s="474"/>
      <c r="J55" s="474">
        <f>IF('[1]p20'!$I$59&lt;&gt;0,'[1]p20'!$I$59,"")</f>
        <v>20</v>
      </c>
      <c r="K55" s="474"/>
      <c r="L55" s="24"/>
      <c r="M55" s="474">
        <f>IF('[1]p20'!$K$59&lt;&gt;0,'[1]p20'!$K$59,"")</f>
        <v>5</v>
      </c>
      <c r="N55" s="474"/>
      <c r="O55" s="24"/>
      <c r="P55" s="24">
        <f>IF('[1]p20'!$L$59&lt;&gt;0,'[1]p20'!$L$59,"")</f>
      </c>
      <c r="Q55" s="42"/>
      <c r="R55" s="474">
        <f>IF('[1]p20'!$J$59&lt;&gt;0,'[1]p20'!$J$59,"")</f>
        <v>15</v>
      </c>
      <c r="S55" s="474"/>
    </row>
    <row r="56" spans="1:19" s="34" customFormat="1" ht="11.25">
      <c r="A56" s="387" t="str">
        <f>T('[1]p21'!$C$13:$G$13)</f>
        <v>Joseilson Raimundo de Lima</v>
      </c>
      <c r="B56" s="385"/>
      <c r="C56" s="385"/>
      <c r="D56" s="385"/>
      <c r="E56" s="401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</row>
    <row r="57" spans="1:19" s="2" customFormat="1" ht="13.5" customHeight="1">
      <c r="A57" s="413" t="str">
        <f>IF('[1]p21'!$A$57&lt;&gt;0,'[1]p21'!$A$57,"")</f>
        <v>Calculo Diferencial e Integral I</v>
      </c>
      <c r="B57" s="413"/>
      <c r="C57" s="413"/>
      <c r="D57" s="413"/>
      <c r="E57" s="413"/>
      <c r="F57" s="474">
        <f>IF('[1]p21'!$F$57&lt;&gt;0,'[1]p21'!$F$57,"")</f>
        <v>28</v>
      </c>
      <c r="G57" s="474"/>
      <c r="H57" s="474">
        <f>IF('[1]p21'!$E$57&lt;&gt;0,'[1]p21'!$E$57,"")</f>
        <v>4</v>
      </c>
      <c r="I57" s="474"/>
      <c r="J57" s="474">
        <f>IF('[1]p21'!$I$57&lt;&gt;0,'[1]p21'!$I$57,"")</f>
        <v>45</v>
      </c>
      <c r="K57" s="474"/>
      <c r="L57" s="24"/>
      <c r="M57" s="474">
        <f>IF('[1]p21'!$K$57&lt;&gt;0,'[1]p21'!$K$57,"")</f>
        <v>8</v>
      </c>
      <c r="N57" s="474"/>
      <c r="O57" s="24"/>
      <c r="P57" s="24">
        <f>IF('[1]p21'!$L$57&lt;&gt;0,'[1]p21'!$L$57,"")</f>
        <v>10</v>
      </c>
      <c r="Q57" s="42"/>
      <c r="R57" s="474">
        <f>IF('[1]p21'!$J$57&lt;&gt;0,'[1]p21'!$J$57,"")</f>
        <v>27</v>
      </c>
      <c r="S57" s="474"/>
    </row>
    <row r="58" spans="1:19" s="2" customFormat="1" ht="13.5" customHeight="1">
      <c r="A58" s="413" t="str">
        <f>IF('[1]p21'!$A$58&lt;&gt;0,'[1]p21'!$A$58,"")</f>
        <v>Algebra Vetorial e Geometria Analítica</v>
      </c>
      <c r="B58" s="413"/>
      <c r="C58" s="413"/>
      <c r="D58" s="413"/>
      <c r="E58" s="413"/>
      <c r="F58" s="474">
        <f>IF('[1]p21'!$F$58&lt;&gt;0,'[1]p21'!$F$58,"")</f>
        <v>28</v>
      </c>
      <c r="G58" s="474"/>
      <c r="H58" s="474">
        <f>IF('[1]p21'!$E$58&lt;&gt;0,'[1]p21'!$E$58,"")</f>
        <v>4</v>
      </c>
      <c r="I58" s="474"/>
      <c r="J58" s="474">
        <f>IF('[1]p21'!$I$58&lt;&gt;0,'[1]p21'!$I$58,"")</f>
        <v>27</v>
      </c>
      <c r="K58" s="474"/>
      <c r="L58" s="24"/>
      <c r="M58" s="474">
        <f>IF('[1]p21'!$K$58&lt;&gt;0,'[1]p21'!$K$58,"")</f>
        <v>7</v>
      </c>
      <c r="N58" s="474"/>
      <c r="O58" s="24"/>
      <c r="P58" s="24">
        <f>IF('[1]p21'!$L$58&lt;&gt;0,'[1]p21'!$L$58,"")</f>
        <v>8</v>
      </c>
      <c r="Q58" s="42"/>
      <c r="R58" s="474">
        <f>IF('[1]p21'!$J$58&lt;&gt;0,'[1]p21'!$J$58,"")</f>
        <v>12</v>
      </c>
      <c r="S58" s="474"/>
    </row>
    <row r="59" spans="1:19" s="2" customFormat="1" ht="13.5" customHeight="1">
      <c r="A59" s="413" t="str">
        <f>IF('[1]p21'!$A$59&lt;&gt;0,'[1]p21'!$A$59,"")</f>
        <v>Algebra Vetorial e Geometria Analítica</v>
      </c>
      <c r="B59" s="413"/>
      <c r="C59" s="413"/>
      <c r="D59" s="413"/>
      <c r="E59" s="413"/>
      <c r="F59" s="474">
        <f>IF('[1]p21'!$F$59&lt;&gt;0,'[1]p21'!$F$59,"")</f>
        <v>28</v>
      </c>
      <c r="G59" s="474"/>
      <c r="H59" s="474">
        <f>IF('[1]p21'!$E$59&lt;&gt;0,'[1]p21'!$E$59,"")</f>
        <v>4</v>
      </c>
      <c r="I59" s="474"/>
      <c r="J59" s="474">
        <f>IF('[1]p21'!$I$59&lt;&gt;0,'[1]p21'!$I$59,"")</f>
        <v>60</v>
      </c>
      <c r="K59" s="474"/>
      <c r="L59" s="24"/>
      <c r="M59" s="474">
        <f>IF('[1]p21'!$K$59&lt;&gt;0,'[1]p21'!$K$59,"")</f>
        <v>24</v>
      </c>
      <c r="N59" s="474"/>
      <c r="O59" s="24"/>
      <c r="P59" s="24">
        <f>IF('[1]p21'!$L$59&lt;&gt;0,'[1]p21'!$L$59,"")</f>
        <v>14</v>
      </c>
      <c r="Q59" s="42"/>
      <c r="R59" s="474">
        <f>IF('[1]p21'!$J$59&lt;&gt;0,'[1]p21'!$J$59,"")</f>
        <v>22</v>
      </c>
      <c r="S59" s="474"/>
    </row>
    <row r="60" spans="1:19" s="34" customFormat="1" ht="11.25">
      <c r="A60" s="387" t="str">
        <f>T('[1]p22'!$C$13:$G$13)</f>
        <v>José Lindomberg Possiano Barreiro</v>
      </c>
      <c r="B60" s="385"/>
      <c r="C60" s="385"/>
      <c r="D60" s="385"/>
      <c r="E60" s="401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</row>
    <row r="61" spans="1:19" s="2" customFormat="1" ht="13.5" customHeight="1">
      <c r="A61" s="413" t="str">
        <f>IF('[1]p22'!$A$57&lt;&gt;0,'[1]p22'!$A$57,"")</f>
        <v>Cálculo Diferencial e Integral II (Novo) - T 01</v>
      </c>
      <c r="B61" s="413"/>
      <c r="C61" s="413"/>
      <c r="D61" s="413"/>
      <c r="E61" s="413"/>
      <c r="F61" s="474">
        <f>IF('[1]p22'!$F$57&lt;&gt;0,'[1]p22'!$F$57,"")</f>
        <v>60</v>
      </c>
      <c r="G61" s="474"/>
      <c r="H61" s="474">
        <f>IF('[1]p22'!$E$57&lt;&gt;0,'[1]p22'!$E$57,"")</f>
        <v>4</v>
      </c>
      <c r="I61" s="474"/>
      <c r="J61" s="474">
        <f>IF('[1]p22'!$I$57&lt;&gt;0,'[1]p22'!$I$57,"")</f>
        <v>61</v>
      </c>
      <c r="K61" s="474"/>
      <c r="L61" s="24"/>
      <c r="M61" s="474">
        <f>IF('[1]p22'!$K$57&lt;&gt;0,'[1]p22'!$K$57,"")</f>
        <v>29</v>
      </c>
      <c r="N61" s="474"/>
      <c r="O61" s="24"/>
      <c r="P61" s="24">
        <f>IF('[1]p22'!$L$57&lt;&gt;0,'[1]p22'!$L$57,"")</f>
        <v>17</v>
      </c>
      <c r="Q61" s="42"/>
      <c r="R61" s="474">
        <f>IF('[1]p22'!$J$57&lt;&gt;0,'[1]p22'!$J$57,"")</f>
        <v>15</v>
      </c>
      <c r="S61" s="474"/>
    </row>
    <row r="62" spans="1:19" s="2" customFormat="1" ht="13.5" customHeight="1">
      <c r="A62" s="413" t="str">
        <f>IF('[1]p22'!$A$58&lt;&gt;0,'[1]p22'!$A$58,"")</f>
        <v>Equações Diferenciais Lineares - T 01</v>
      </c>
      <c r="B62" s="413"/>
      <c r="C62" s="413"/>
      <c r="D62" s="413"/>
      <c r="E62" s="413"/>
      <c r="F62" s="474">
        <f>IF('[1]p22'!$F$58&lt;&gt;0,'[1]p22'!$F$58,"")</f>
        <v>60</v>
      </c>
      <c r="G62" s="474"/>
      <c r="H62" s="474">
        <f>IF('[1]p22'!$E$58&lt;&gt;0,'[1]p22'!$E$58,"")</f>
        <v>4</v>
      </c>
      <c r="I62" s="474"/>
      <c r="J62" s="474">
        <f>IF('[1]p22'!$I$58&lt;&gt;0,'[1]p22'!$I$58,"")</f>
        <v>66</v>
      </c>
      <c r="K62" s="474"/>
      <c r="L62" s="24"/>
      <c r="M62" s="474">
        <f>IF('[1]p22'!$K$58&lt;&gt;0,'[1]p22'!$K$58,"")</f>
        <v>23</v>
      </c>
      <c r="N62" s="474"/>
      <c r="O62" s="24"/>
      <c r="P62" s="24">
        <f>IF('[1]p22'!$L$58&lt;&gt;0,'[1]p22'!$L$58,"")</f>
        <v>15</v>
      </c>
      <c r="Q62" s="42"/>
      <c r="R62" s="474">
        <f>IF('[1]p22'!$J$58&lt;&gt;0,'[1]p22'!$J$58,"")</f>
        <v>28</v>
      </c>
      <c r="S62" s="474"/>
    </row>
    <row r="63" spans="1:19" s="2" customFormat="1" ht="13.5" customHeight="1">
      <c r="A63" s="413" t="str">
        <f>IF('[1]p22'!$A$59&lt;&gt;0,'[1]p22'!$A$59,"")</f>
        <v>Equações Diferenciais Lineares - T 03</v>
      </c>
      <c r="B63" s="413"/>
      <c r="C63" s="413"/>
      <c r="D63" s="413"/>
      <c r="E63" s="413"/>
      <c r="F63" s="474">
        <f>IF('[1]p22'!$F$59&lt;&gt;0,'[1]p22'!$F$59,"")</f>
        <v>60</v>
      </c>
      <c r="G63" s="474"/>
      <c r="H63" s="474">
        <f>IF('[1]p22'!$E$59&lt;&gt;0,'[1]p22'!$E$59,"")</f>
        <v>4</v>
      </c>
      <c r="I63" s="474"/>
      <c r="J63" s="474">
        <f>IF('[1]p22'!$I$59&lt;&gt;0,'[1]p22'!$I$59,"")</f>
        <v>61</v>
      </c>
      <c r="K63" s="474"/>
      <c r="L63" s="24"/>
      <c r="M63" s="474">
        <f>IF('[1]p22'!$K$59&lt;&gt;0,'[1]p22'!$K$59,"")</f>
        <v>13</v>
      </c>
      <c r="N63" s="474"/>
      <c r="O63" s="24"/>
      <c r="P63" s="24">
        <f>IF('[1]p22'!$L$59&lt;&gt;0,'[1]p22'!$L$59,"")</f>
        <v>6</v>
      </c>
      <c r="Q63" s="42"/>
      <c r="R63" s="474">
        <f>IF('[1]p22'!$J$59&lt;&gt;0,'[1]p22'!$J$59,"")</f>
        <v>42</v>
      </c>
      <c r="S63" s="474"/>
    </row>
    <row r="64" spans="1:19" s="34" customFormat="1" ht="11.25">
      <c r="A64" s="387" t="str">
        <f>T('[1]p23'!$C$13:$G$13)</f>
        <v>José Luiz Neto</v>
      </c>
      <c r="B64" s="385"/>
      <c r="C64" s="385"/>
      <c r="D64" s="385"/>
      <c r="E64" s="401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</row>
    <row r="65" spans="1:19" s="2" customFormat="1" ht="13.5" customHeight="1">
      <c r="A65" s="413" t="str">
        <f>IF('[1]p23'!$A$57&lt;&gt;0,'[1]p23'!$A$57,"")</f>
        <v>Cálculo Diferencial e Integral I (Novo) - T 01</v>
      </c>
      <c r="B65" s="413"/>
      <c r="C65" s="413"/>
      <c r="D65" s="413"/>
      <c r="E65" s="413"/>
      <c r="F65" s="474">
        <f>IF('[1]p23'!$F$57&lt;&gt;0,'[1]p23'!$F$57,"")</f>
        <v>60</v>
      </c>
      <c r="G65" s="474"/>
      <c r="H65" s="474">
        <f>IF('[1]p23'!$E$57&lt;&gt;0,'[1]p23'!$E$57,"")</f>
        <v>4</v>
      </c>
      <c r="I65" s="474"/>
      <c r="J65" s="474">
        <f>IF('[1]p23'!$I$57&lt;&gt;0,'[1]p23'!$I$57,"")</f>
        <v>60</v>
      </c>
      <c r="K65" s="474"/>
      <c r="L65" s="24"/>
      <c r="M65" s="474">
        <f>IF('[1]p23'!$K$57&lt;&gt;0,'[1]p23'!$K$57,"")</f>
        <v>14</v>
      </c>
      <c r="N65" s="474"/>
      <c r="O65" s="24"/>
      <c r="P65" s="24">
        <f>IF('[1]p23'!$L$57&lt;&gt;0,'[1]p23'!$L$57,"")</f>
        <v>21</v>
      </c>
      <c r="Q65" s="42"/>
      <c r="R65" s="474">
        <f>IF('[1]p23'!$J$57&lt;&gt;0,'[1]p23'!$J$57,"")</f>
        <v>25</v>
      </c>
      <c r="S65" s="474"/>
    </row>
    <row r="66" spans="1:19" s="2" customFormat="1" ht="13.5" customHeight="1">
      <c r="A66" s="413" t="str">
        <f>IF('[1]p23'!$A$58&lt;&gt;0,'[1]p23'!$A$58,"")</f>
        <v>Cálculo Diferencial e Integral I (Novo) - T 02</v>
      </c>
      <c r="B66" s="413"/>
      <c r="C66" s="413"/>
      <c r="D66" s="413"/>
      <c r="E66" s="413"/>
      <c r="F66" s="474">
        <f>IF('[1]p23'!$F$58&lt;&gt;0,'[1]p23'!$F$58,"")</f>
        <v>60</v>
      </c>
      <c r="G66" s="474"/>
      <c r="H66" s="474">
        <f>IF('[1]p23'!$E$58&lt;&gt;0,'[1]p23'!$E$58,"")</f>
        <v>4</v>
      </c>
      <c r="I66" s="474"/>
      <c r="J66" s="474">
        <f>IF('[1]p23'!$I$58&lt;&gt;0,'[1]p23'!$I$58,"")</f>
        <v>60</v>
      </c>
      <c r="K66" s="474"/>
      <c r="L66" s="24"/>
      <c r="M66" s="474">
        <f>IF('[1]p23'!$K$58&lt;&gt;0,'[1]p23'!$K$58,"")</f>
        <v>17</v>
      </c>
      <c r="N66" s="474"/>
      <c r="O66" s="24"/>
      <c r="P66" s="24">
        <f>IF('[1]p23'!$L$58&lt;&gt;0,'[1]p23'!$L$58,"")</f>
        <v>25</v>
      </c>
      <c r="Q66" s="42"/>
      <c r="R66" s="474">
        <f>IF('[1]p23'!$J$58&lt;&gt;0,'[1]p23'!$J$58,"")</f>
        <v>18</v>
      </c>
      <c r="S66" s="474"/>
    </row>
    <row r="67" spans="1:19" s="2" customFormat="1" ht="13.5" customHeight="1">
      <c r="A67" s="413" t="str">
        <f>IF('[1]p23'!$A$59&lt;&gt;0,'[1]p23'!$A$59,"")</f>
        <v>TEM (Prática de Ensino) - T 01</v>
      </c>
      <c r="B67" s="413"/>
      <c r="C67" s="413"/>
      <c r="D67" s="413"/>
      <c r="E67" s="413"/>
      <c r="F67" s="474">
        <f>IF('[1]p23'!$F$59&lt;&gt;0,'[1]p23'!$F$59,"")</f>
        <v>60</v>
      </c>
      <c r="G67" s="474"/>
      <c r="H67" s="474">
        <f>IF('[1]p23'!$E$59&lt;&gt;0,'[1]p23'!$E$59,"")</f>
        <v>4</v>
      </c>
      <c r="I67" s="474"/>
      <c r="J67" s="474">
        <f>IF('[1]p23'!$I$59&lt;&gt;0,'[1]p23'!$I$59,"")</f>
        <v>14</v>
      </c>
      <c r="K67" s="474"/>
      <c r="L67" s="24"/>
      <c r="M67" s="474">
        <f>IF('[1]p23'!$K$59&lt;&gt;0,'[1]p23'!$K$59,"")</f>
      </c>
      <c r="N67" s="474"/>
      <c r="O67" s="24"/>
      <c r="P67" s="24">
        <f>IF('[1]p23'!$L$59&lt;&gt;0,'[1]p23'!$L$59,"")</f>
      </c>
      <c r="Q67" s="42"/>
      <c r="R67" s="474">
        <f>IF('[1]p23'!$J$59&lt;&gt;0,'[1]p23'!$J$59,"")</f>
        <v>14</v>
      </c>
      <c r="S67" s="474"/>
    </row>
    <row r="68" spans="1:19" s="34" customFormat="1" ht="11.25">
      <c r="A68" s="387" t="str">
        <f>T('[1]p24'!$C$13:$G$13)</f>
        <v>Luiz Mendes Albuquerque Neto</v>
      </c>
      <c r="B68" s="385"/>
      <c r="C68" s="385"/>
      <c r="D68" s="385"/>
      <c r="E68" s="401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</row>
    <row r="69" spans="1:19" s="2" customFormat="1" ht="13.5" customHeight="1">
      <c r="A69" s="413" t="str">
        <f>IF('[1]p24'!$A$57&lt;&gt;0,'[1]p24'!$A$57,"")</f>
        <v>Cálculo Diferencial e Integral III (Novo) - T 01</v>
      </c>
      <c r="B69" s="413"/>
      <c r="C69" s="413"/>
      <c r="D69" s="413"/>
      <c r="E69" s="413"/>
      <c r="F69" s="474">
        <f>IF('[1]p24'!$F$57&lt;&gt;0,'[1]p24'!$F$57,"")</f>
        <v>60</v>
      </c>
      <c r="G69" s="474"/>
      <c r="H69" s="474">
        <f>IF('[1]p24'!$E$57&lt;&gt;0,'[1]p24'!$E$57,"")</f>
        <v>4</v>
      </c>
      <c r="I69" s="474"/>
      <c r="J69" s="474">
        <f>IF('[1]p24'!$I$57&lt;&gt;0,'[1]p24'!$I$57,"")</f>
        <v>20</v>
      </c>
      <c r="K69" s="474"/>
      <c r="L69" s="24"/>
      <c r="M69" s="474">
        <f>IF('[1]p24'!$K$57&lt;&gt;0,'[1]p24'!$K$57,"")</f>
        <v>3</v>
      </c>
      <c r="N69" s="474"/>
      <c r="O69" s="24"/>
      <c r="P69" s="24">
        <f>IF('[1]p24'!$L$57&lt;&gt;0,'[1]p24'!$L$57,"")</f>
        <v>1</v>
      </c>
      <c r="Q69" s="42"/>
      <c r="R69" s="474">
        <f>IF('[1]p24'!$J$57&lt;&gt;0,'[1]p24'!$J$57,"")</f>
        <v>16</v>
      </c>
      <c r="S69" s="474"/>
    </row>
    <row r="70" spans="1:19" s="2" customFormat="1" ht="13.5" customHeight="1">
      <c r="A70" s="413" t="str">
        <f>IF('[1]p24'!$A$58&lt;&gt;0,'[1]p24'!$A$58,"")</f>
        <v>Funções de uma Variável Complexa - T 01</v>
      </c>
      <c r="B70" s="413"/>
      <c r="C70" s="413"/>
      <c r="D70" s="413"/>
      <c r="E70" s="413"/>
      <c r="F70" s="474">
        <f>IF('[1]p24'!$F$58&lt;&gt;0,'[1]p24'!$F$58,"")</f>
        <v>60</v>
      </c>
      <c r="G70" s="474"/>
      <c r="H70" s="474">
        <f>IF('[1]p24'!$E$58&lt;&gt;0,'[1]p24'!$E$58,"")</f>
        <v>4</v>
      </c>
      <c r="I70" s="474"/>
      <c r="J70" s="474">
        <f>IF('[1]p24'!$I$58&lt;&gt;0,'[1]p24'!$I$58,"")</f>
        <v>58</v>
      </c>
      <c r="K70" s="474"/>
      <c r="L70" s="24"/>
      <c r="M70" s="474">
        <f>IF('[1]p24'!$K$58&lt;&gt;0,'[1]p24'!$K$58,"")</f>
        <v>7</v>
      </c>
      <c r="N70" s="474"/>
      <c r="O70" s="24"/>
      <c r="P70" s="24">
        <f>IF('[1]p24'!$L$58&lt;&gt;0,'[1]p24'!$L$58,"")</f>
        <v>6</v>
      </c>
      <c r="Q70" s="42"/>
      <c r="R70" s="474">
        <f>IF('[1]p24'!$J$58&lt;&gt;0,'[1]p24'!$J$58,"")</f>
        <v>45</v>
      </c>
      <c r="S70" s="474"/>
    </row>
    <row r="71" spans="1:19" s="2" customFormat="1" ht="13.5" customHeight="1">
      <c r="A71" s="413" t="str">
        <f>IF('[1]p24'!$A$59&lt;&gt;0,'[1]p24'!$A$59,"")</f>
        <v>Variáveis Complexas - T 01</v>
      </c>
      <c r="B71" s="413"/>
      <c r="C71" s="413"/>
      <c r="D71" s="413"/>
      <c r="E71" s="413"/>
      <c r="F71" s="474">
        <f>IF('[1]p24'!$F$59&lt;&gt;0,'[1]p24'!$F$59,"")</f>
        <v>60</v>
      </c>
      <c r="G71" s="474"/>
      <c r="H71" s="474">
        <f>IF('[1]p24'!$E$59&lt;&gt;0,'[1]p24'!$E$59,"")</f>
        <v>4</v>
      </c>
      <c r="I71" s="474"/>
      <c r="J71" s="474">
        <f>IF('[1]p24'!$I$59&lt;&gt;0,'[1]p24'!$I$59,"")</f>
        <v>17</v>
      </c>
      <c r="K71" s="474"/>
      <c r="L71" s="24"/>
      <c r="M71" s="474">
        <f>IF('[1]p24'!$K$59&lt;&gt;0,'[1]p24'!$K$59,"")</f>
        <v>3</v>
      </c>
      <c r="N71" s="474"/>
      <c r="O71" s="24"/>
      <c r="P71" s="24">
        <f>IF('[1]p24'!$L$59&lt;&gt;0,'[1]p24'!$L$59,"")</f>
      </c>
      <c r="Q71" s="42"/>
      <c r="R71" s="474">
        <f>IF('[1]p24'!$J$59&lt;&gt;0,'[1]p24'!$J$59,"")</f>
        <v>14</v>
      </c>
      <c r="S71" s="474"/>
    </row>
    <row r="72" spans="1:19" s="34" customFormat="1" ht="11.25">
      <c r="A72" s="382" t="str">
        <f>T('[1]p25'!$C$13:$G$13)</f>
        <v>Marcelo Carvalho Ferreira</v>
      </c>
      <c r="B72" s="381"/>
      <c r="C72" s="381"/>
      <c r="D72" s="381"/>
      <c r="E72" s="384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6"/>
    </row>
    <row r="73" spans="1:19" s="2" customFormat="1" ht="13.5" customHeight="1">
      <c r="A73" s="413" t="str">
        <f>IF('[1]p25'!$A$57&lt;&gt;0,'[1]p25'!$A$57,"")</f>
        <v>Cálculo Diferencial e Integral I - T 01</v>
      </c>
      <c r="B73" s="413"/>
      <c r="C73" s="413"/>
      <c r="D73" s="413"/>
      <c r="E73" s="413"/>
      <c r="F73" s="474">
        <f>IF('[1]p25'!$F$57&lt;&gt;0,'[1]p25'!$F$57,"")</f>
        <v>90</v>
      </c>
      <c r="G73" s="474"/>
      <c r="H73" s="474">
        <f>IF('[1]p25'!$E$57&lt;&gt;0,'[1]p25'!$E$57,"")</f>
        <v>6</v>
      </c>
      <c r="I73" s="474"/>
      <c r="J73" s="474">
        <f>IF('[1]p25'!$I$57&lt;&gt;0,'[1]p25'!$I$57,"")</f>
        <v>60</v>
      </c>
      <c r="K73" s="474"/>
      <c r="L73" s="24"/>
      <c r="M73" s="474">
        <f>IF('[1]p25'!$K$57&lt;&gt;0,'[1]p25'!$K$57,"")</f>
        <v>34</v>
      </c>
      <c r="N73" s="474"/>
      <c r="O73" s="24"/>
      <c r="P73" s="24">
        <f>IF('[1]p25'!$L$57&lt;&gt;0,'[1]p25'!$L$57,"")</f>
        <v>18</v>
      </c>
      <c r="Q73" s="42"/>
      <c r="R73" s="474">
        <f>IF('[1]p25'!$J$57&lt;&gt;0,'[1]p25'!$J$57,"")</f>
        <v>8</v>
      </c>
      <c r="S73" s="474"/>
    </row>
    <row r="74" spans="1:19" s="2" customFormat="1" ht="13.5" customHeight="1">
      <c r="A74" s="413" t="str">
        <f>IF('[1]p25'!$A$58&lt;&gt;0,'[1]p25'!$A$58,"")</f>
        <v>Cálculo Diferencial e Integral I - T 06</v>
      </c>
      <c r="B74" s="413"/>
      <c r="C74" s="413"/>
      <c r="D74" s="413"/>
      <c r="E74" s="413"/>
      <c r="F74" s="474">
        <f>IF('[1]p25'!$F$58&lt;&gt;0,'[1]p25'!$F$58,"")</f>
        <v>90</v>
      </c>
      <c r="G74" s="474"/>
      <c r="H74" s="474">
        <f>IF('[1]p25'!$E$58&lt;&gt;0,'[1]p25'!$E$58,"")</f>
        <v>6</v>
      </c>
      <c r="I74" s="474"/>
      <c r="J74" s="474">
        <f>IF('[1]p25'!$I$58&lt;&gt;0,'[1]p25'!$I$58,"")</f>
        <v>61</v>
      </c>
      <c r="K74" s="474"/>
      <c r="L74" s="24"/>
      <c r="M74" s="474">
        <f>IF('[1]p25'!$K$58&lt;&gt;0,'[1]p25'!$K$58,"")</f>
        <v>22</v>
      </c>
      <c r="N74" s="474"/>
      <c r="O74" s="24"/>
      <c r="P74" s="24">
        <f>IF('[1]p25'!$L$58&lt;&gt;0,'[1]p25'!$L$58,"")</f>
        <v>29</v>
      </c>
      <c r="Q74" s="42"/>
      <c r="R74" s="474">
        <f>IF('[1]p25'!$J$58&lt;&gt;0,'[1]p25'!$J$58,"")</f>
        <v>10</v>
      </c>
      <c r="S74" s="474"/>
    </row>
    <row r="75" spans="1:19" s="34" customFormat="1" ht="11.25">
      <c r="A75" s="382" t="str">
        <f>T('[1]p26'!$C$13:$G$13)</f>
        <v>Marco Aurélio Soares Souto</v>
      </c>
      <c r="B75" s="381"/>
      <c r="C75" s="381"/>
      <c r="D75" s="381"/>
      <c r="E75" s="384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</row>
    <row r="76" spans="1:19" s="2" customFormat="1" ht="13.5" customHeight="1">
      <c r="A76" s="413" t="str">
        <f>IF('[1]p26'!$A$57&lt;&gt;0,'[1]p26'!$A$57,"")</f>
        <v>TE(Matemática para o Ensino Médio I - Uma visão crítica)</v>
      </c>
      <c r="B76" s="413"/>
      <c r="C76" s="413"/>
      <c r="D76" s="413"/>
      <c r="E76" s="413"/>
      <c r="F76" s="474">
        <f>IF('[1]p26'!$F$57&lt;&gt;0,'[1]p26'!$F$57,"")</f>
        <v>60</v>
      </c>
      <c r="G76" s="474"/>
      <c r="H76" s="474">
        <f>IF('[1]p26'!$E$57&lt;&gt;0,'[1]p26'!$E$57,"")</f>
        <v>4</v>
      </c>
      <c r="I76" s="474"/>
      <c r="J76" s="474">
        <f>IF('[1]p26'!$I$57&lt;&gt;0,'[1]p26'!$I$57,"")</f>
        <v>27</v>
      </c>
      <c r="K76" s="474"/>
      <c r="L76" s="24"/>
      <c r="M76" s="474">
        <f>IF('[1]p26'!$K$57&lt;&gt;0,'[1]p26'!$K$57,"")</f>
        <v>7</v>
      </c>
      <c r="N76" s="474"/>
      <c r="O76" s="24"/>
      <c r="P76" s="24">
        <f>IF('[1]p26'!$L$57&lt;&gt;0,'[1]p26'!$L$57,"")</f>
        <v>3</v>
      </c>
      <c r="Q76" s="42"/>
      <c r="R76" s="474">
        <f>IF('[1]p26'!$J$57&lt;&gt;0,'[1]p26'!$J$57,"")</f>
        <v>17</v>
      </c>
      <c r="S76" s="474"/>
    </row>
    <row r="77" spans="1:19" s="2" customFormat="1" ht="13.5" customHeight="1">
      <c r="A77" s="413" t="str">
        <f>IF('[1]p26'!$A$58&lt;&gt;0,'[1]p26'!$A$58,"")</f>
        <v>Álgebra Verorial e Geometria Analítica</v>
      </c>
      <c r="B77" s="413"/>
      <c r="C77" s="413"/>
      <c r="D77" s="413"/>
      <c r="E77" s="413"/>
      <c r="F77" s="474">
        <f>IF('[1]p26'!$F$58&lt;&gt;0,'[1]p26'!$F$58,"")</f>
        <v>45</v>
      </c>
      <c r="G77" s="474"/>
      <c r="H77" s="474">
        <f>IF('[1]p26'!$E$58&lt;&gt;0,'[1]p26'!$E$58,"")</f>
        <v>3</v>
      </c>
      <c r="I77" s="474"/>
      <c r="J77" s="474">
        <f>IF('[1]p26'!$I$58&lt;&gt;0,'[1]p26'!$I$58,"")</f>
      </c>
      <c r="K77" s="474"/>
      <c r="L77" s="24"/>
      <c r="M77" s="474">
        <f>IF('[1]p26'!$K$58&lt;&gt;0,'[1]p26'!$K$58,"")</f>
      </c>
      <c r="N77" s="474"/>
      <c r="O77" s="24"/>
      <c r="P77" s="24">
        <f>IF('[1]p26'!$L$58&lt;&gt;0,'[1]p26'!$L$58,"")</f>
      </c>
      <c r="Q77" s="42"/>
      <c r="R77" s="474">
        <f>IF('[1]p26'!$J$58&lt;&gt;0,'[1]p26'!$J$58,"")</f>
      </c>
      <c r="S77" s="474"/>
    </row>
    <row r="78" spans="1:19" s="34" customFormat="1" ht="11.25">
      <c r="A78" s="387" t="str">
        <f>T('[1]p28'!$C$13:$G$13)</f>
        <v>Michelli Karinne Barros da Silva</v>
      </c>
      <c r="B78" s="385"/>
      <c r="C78" s="385"/>
      <c r="D78" s="385"/>
      <c r="E78" s="401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</row>
    <row r="79" spans="1:19" s="2" customFormat="1" ht="13.5" customHeight="1">
      <c r="A79" s="413" t="str">
        <f>IF('[1]p28'!$A$57&lt;&gt;0,'[1]p28'!$A$57,"")</f>
        <v>Métodos Estatísticos - T 01</v>
      </c>
      <c r="B79" s="413"/>
      <c r="C79" s="413"/>
      <c r="D79" s="413"/>
      <c r="E79" s="413"/>
      <c r="F79" s="474">
        <f>IF('[1]p28'!$F$57&lt;&gt;0,'[1]p28'!$F$57,"")</f>
        <v>60</v>
      </c>
      <c r="G79" s="474"/>
      <c r="H79" s="474">
        <f>IF('[1]p28'!$E$57&lt;&gt;0,'[1]p28'!$E$57,"")</f>
        <v>4</v>
      </c>
      <c r="I79" s="474"/>
      <c r="J79" s="474">
        <f>IF('[1]p28'!$I$57&lt;&gt;0,'[1]p28'!$I$57,"")</f>
        <v>44</v>
      </c>
      <c r="K79" s="474"/>
      <c r="L79" s="24"/>
      <c r="M79" s="474">
        <f>IF('[1]p28'!$K$57&lt;&gt;0,'[1]p28'!$K$57,"")</f>
        <v>8</v>
      </c>
      <c r="N79" s="474"/>
      <c r="O79" s="24"/>
      <c r="P79" s="24">
        <f>IF('[1]p28'!$L$57&lt;&gt;0,'[1]p28'!$L$57,"")</f>
        <v>7</v>
      </c>
      <c r="Q79" s="42"/>
      <c r="R79" s="474">
        <f>IF('[1]p28'!$J$57&lt;&gt;0,'[1]p28'!$J$57,"")</f>
        <v>29</v>
      </c>
      <c r="S79" s="474"/>
    </row>
    <row r="80" spans="1:19" s="2" customFormat="1" ht="13.5" customHeight="1">
      <c r="A80" s="413" t="str">
        <f>IF('[1]p28'!$A$58&lt;&gt;0,'[1]p28'!$A$58,"")</f>
        <v>TE(Métodos Estatísticos) - T 01</v>
      </c>
      <c r="B80" s="413"/>
      <c r="C80" s="413"/>
      <c r="D80" s="413"/>
      <c r="E80" s="413"/>
      <c r="F80" s="474">
        <f>IF('[1]p28'!$F$58&lt;&gt;0,'[1]p28'!$F$58,"")</f>
        <v>60</v>
      </c>
      <c r="G80" s="474"/>
      <c r="H80" s="474">
        <f>IF('[1]p28'!$E$58&lt;&gt;0,'[1]p28'!$E$58,"")</f>
        <v>4</v>
      </c>
      <c r="I80" s="474"/>
      <c r="J80" s="474">
        <f>IF('[1]p28'!$I$58&lt;&gt;0,'[1]p28'!$I$58,"")</f>
        <v>2</v>
      </c>
      <c r="K80" s="474"/>
      <c r="L80" s="24"/>
      <c r="M80" s="474">
        <f>IF('[1]p28'!$K$58&lt;&gt;0,'[1]p28'!$K$58,"")</f>
        <v>1</v>
      </c>
      <c r="N80" s="474"/>
      <c r="O80" s="24"/>
      <c r="P80" s="24">
        <f>IF('[1]p28'!$L$58&lt;&gt;0,'[1]p28'!$L$58,"")</f>
        <v>1</v>
      </c>
      <c r="Q80" s="42"/>
      <c r="R80" s="474">
        <f>IF('[1]p28'!$J$58&lt;&gt;0,'[1]p28'!$J$58,"")</f>
      </c>
      <c r="S80" s="474"/>
    </row>
    <row r="81" spans="1:19" s="2" customFormat="1" ht="13.5" customHeight="1">
      <c r="A81" s="413" t="str">
        <f>IF('[1]p28'!$A$59&lt;&gt;0,'[1]p28'!$A$59,"")</f>
        <v>Tópicos Especiais de Estatística - T 01</v>
      </c>
      <c r="B81" s="413"/>
      <c r="C81" s="413"/>
      <c r="D81" s="413"/>
      <c r="E81" s="413"/>
      <c r="F81" s="474">
        <f>IF('[1]p28'!$F$59&lt;&gt;0,'[1]p28'!$F$59,"")</f>
        <v>60</v>
      </c>
      <c r="G81" s="474"/>
      <c r="H81" s="474">
        <f>IF('[1]p28'!$E$59&lt;&gt;0,'[1]p28'!$E$59,"")</f>
        <v>4</v>
      </c>
      <c r="I81" s="474"/>
      <c r="J81" s="474">
        <f>IF('[1]p28'!$I$59&lt;&gt;0,'[1]p28'!$I$59,"")</f>
        <v>10</v>
      </c>
      <c r="K81" s="474"/>
      <c r="L81" s="24"/>
      <c r="M81" s="474">
        <f>IF('[1]p28'!$K$59&lt;&gt;0,'[1]p28'!$K$59,"")</f>
        <v>1</v>
      </c>
      <c r="N81" s="474"/>
      <c r="O81" s="24"/>
      <c r="P81" s="24">
        <f>IF('[1]p28'!$L$59&lt;&gt;0,'[1]p28'!$L$59,"")</f>
      </c>
      <c r="Q81" s="42"/>
      <c r="R81" s="474">
        <f>IF('[1]p28'!$J$59&lt;&gt;0,'[1]p28'!$J$59,"")</f>
        <v>9</v>
      </c>
      <c r="S81" s="474"/>
    </row>
    <row r="82" spans="1:19" s="34" customFormat="1" ht="11.25">
      <c r="A82" s="387" t="str">
        <f>T('[1]p29'!$C$13:$G$13)</f>
        <v>Miriam Costa</v>
      </c>
      <c r="B82" s="385"/>
      <c r="C82" s="385"/>
      <c r="D82" s="385"/>
      <c r="E82" s="401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</row>
    <row r="83" spans="1:19" s="2" customFormat="1" ht="13.5" customHeight="1">
      <c r="A83" s="413" t="str">
        <f>IF('[1]p29'!$A$57&lt;&gt;0,'[1]p29'!$A$57,"")</f>
        <v>Álgebra Linear I - T 01</v>
      </c>
      <c r="B83" s="413"/>
      <c r="C83" s="413"/>
      <c r="D83" s="413"/>
      <c r="E83" s="413"/>
      <c r="F83" s="474">
        <f>IF('[1]p29'!$F$57&lt;&gt;0,'[1]p29'!$F$57,"")</f>
        <v>60</v>
      </c>
      <c r="G83" s="474"/>
      <c r="H83" s="474">
        <f>IF('[1]p29'!$E$57&lt;&gt;0,'[1]p29'!$E$57,"")</f>
        <v>4</v>
      </c>
      <c r="I83" s="474"/>
      <c r="J83" s="474">
        <f>IF('[1]p29'!$I$57&lt;&gt;0,'[1]p29'!$I$57,"")</f>
        <v>60</v>
      </c>
      <c r="K83" s="474"/>
      <c r="L83" s="24"/>
      <c r="M83" s="474">
        <f>IF('[1]p29'!$K$57&lt;&gt;0,'[1]p29'!$K$57,"")</f>
        <v>19</v>
      </c>
      <c r="N83" s="474"/>
      <c r="O83" s="24"/>
      <c r="P83" s="24">
        <f>IF('[1]p29'!$L$57&lt;&gt;0,'[1]p29'!$L$57,"")</f>
        <v>15</v>
      </c>
      <c r="Q83" s="42"/>
      <c r="R83" s="474">
        <f>IF('[1]p29'!$J$57&lt;&gt;0,'[1]p29'!$J$57,"")</f>
        <v>26</v>
      </c>
      <c r="S83" s="474"/>
    </row>
    <row r="84" spans="1:19" s="2" customFormat="1" ht="13.5" customHeight="1">
      <c r="A84" s="413" t="str">
        <f>IF('[1]p29'!$A$58&lt;&gt;0,'[1]p29'!$A$58,"")</f>
        <v>Álgebra Linear I - T 05</v>
      </c>
      <c r="B84" s="413"/>
      <c r="C84" s="413"/>
      <c r="D84" s="413"/>
      <c r="E84" s="413"/>
      <c r="F84" s="474">
        <f>IF('[1]p29'!$F$58&lt;&gt;0,'[1]p29'!$F$58,"")</f>
        <v>60</v>
      </c>
      <c r="G84" s="474"/>
      <c r="H84" s="474">
        <f>IF('[1]p29'!$E$58&lt;&gt;0,'[1]p29'!$E$58,"")</f>
        <v>4</v>
      </c>
      <c r="I84" s="474"/>
      <c r="J84" s="474">
        <f>IF('[1]p29'!$I$58&lt;&gt;0,'[1]p29'!$I$58,"")</f>
        <v>59</v>
      </c>
      <c r="K84" s="474"/>
      <c r="L84" s="24"/>
      <c r="M84" s="474">
        <f>IF('[1]p29'!$K$58&lt;&gt;0,'[1]p29'!$K$58,"")</f>
        <v>13</v>
      </c>
      <c r="N84" s="474"/>
      <c r="O84" s="24"/>
      <c r="P84" s="24">
        <f>IF('[1]p29'!$L$58&lt;&gt;0,'[1]p29'!$L$58,"")</f>
        <v>24</v>
      </c>
      <c r="Q84" s="42"/>
      <c r="R84" s="474">
        <f>IF('[1]p29'!$J$58&lt;&gt;0,'[1]p29'!$J$58,"")</f>
        <v>22</v>
      </c>
      <c r="S84" s="474"/>
    </row>
    <row r="85" spans="1:19" s="2" customFormat="1" ht="13.5" customHeight="1">
      <c r="A85" s="413" t="str">
        <f>IF('[1]p29'!$A$59&lt;&gt;0,'[1]p29'!$A$59,"")</f>
        <v>Cálculo Diferencial e Integral I (Comp.+Elétr.) -T 01</v>
      </c>
      <c r="B85" s="413"/>
      <c r="C85" s="413"/>
      <c r="D85" s="413"/>
      <c r="E85" s="413"/>
      <c r="F85" s="474">
        <f>IF('[1]p29'!$F$59&lt;&gt;0,'[1]p29'!$F$59,"")</f>
        <v>60</v>
      </c>
      <c r="G85" s="474"/>
      <c r="H85" s="474">
        <f>IF('[1]p29'!$E$59&lt;&gt;0,'[1]p29'!$E$59,"")</f>
        <v>4</v>
      </c>
      <c r="I85" s="474"/>
      <c r="J85" s="474">
        <f>IF('[1]p29'!$I$59&lt;&gt;0,'[1]p29'!$I$59,"")</f>
        <v>60</v>
      </c>
      <c r="K85" s="474"/>
      <c r="L85" s="24"/>
      <c r="M85" s="474">
        <f>IF('[1]p29'!$K$59&lt;&gt;0,'[1]p29'!$K$59,"")</f>
        <v>4</v>
      </c>
      <c r="N85" s="474"/>
      <c r="O85" s="24"/>
      <c r="P85" s="24">
        <f>IF('[1]p29'!$L$59&lt;&gt;0,'[1]p29'!$L$59,"")</f>
        <v>12</v>
      </c>
      <c r="Q85" s="42"/>
      <c r="R85" s="474">
        <f>IF('[1]p29'!$J$59&lt;&gt;0,'[1]p29'!$J$59,"")</f>
        <v>44</v>
      </c>
      <c r="S85" s="474"/>
    </row>
    <row r="86" spans="1:19" s="34" customFormat="1" ht="11.25">
      <c r="A86" s="387" t="str">
        <f>T('[1]p30'!$C$13:$G$13)</f>
        <v>Patrícia Batista Leal</v>
      </c>
      <c r="B86" s="385"/>
      <c r="C86" s="385"/>
      <c r="D86" s="385"/>
      <c r="E86" s="401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  <c r="S86" s="476"/>
    </row>
    <row r="87" spans="1:19" s="2" customFormat="1" ht="13.5" customHeight="1">
      <c r="A87" s="413" t="str">
        <f>IF('[1]p30'!$A$57&lt;&gt;0,'[1]p30'!$A$57,"")</f>
        <v>Probabilidade e Estatística - T 01</v>
      </c>
      <c r="B87" s="413"/>
      <c r="C87" s="413"/>
      <c r="D87" s="413"/>
      <c r="E87" s="413"/>
      <c r="F87" s="474">
        <f>IF('[1]p30'!$F$57&lt;&gt;0,'[1]p30'!$F$57,"")</f>
        <v>90</v>
      </c>
      <c r="G87" s="474"/>
      <c r="H87" s="474">
        <f>IF('[1]p30'!$E$57&lt;&gt;0,'[1]p30'!$E$57,"")</f>
        <v>6</v>
      </c>
      <c r="I87" s="474"/>
      <c r="J87" s="474">
        <f>IF('[1]p30'!$I$57&lt;&gt;0,'[1]p30'!$I$57,"")</f>
        <v>59</v>
      </c>
      <c r="K87" s="474"/>
      <c r="L87" s="24"/>
      <c r="M87" s="474">
        <f>IF('[1]p30'!$K$57&lt;&gt;0,'[1]p30'!$K$57,"")</f>
        <v>18</v>
      </c>
      <c r="N87" s="474"/>
      <c r="O87" s="24"/>
      <c r="P87" s="24">
        <f>IF('[1]p30'!$L$57&lt;&gt;0,'[1]p30'!$L$57,"")</f>
        <v>13</v>
      </c>
      <c r="Q87" s="42"/>
      <c r="R87" s="474">
        <f>IF('[1]p30'!$J$57&lt;&gt;0,'[1]p30'!$J$57,"")</f>
        <v>28</v>
      </c>
      <c r="S87" s="474"/>
    </row>
    <row r="88" spans="1:19" s="2" customFormat="1" ht="13.5" customHeight="1">
      <c r="A88" s="413" t="str">
        <f>IF('[1]p30'!$A$58&lt;&gt;0,'[1]p30'!$A$58,"")</f>
        <v>Probabilidade e Estatística - T 02</v>
      </c>
      <c r="B88" s="413"/>
      <c r="C88" s="413"/>
      <c r="D88" s="413"/>
      <c r="E88" s="413"/>
      <c r="F88" s="474">
        <f>IF('[1]p30'!$F$58&lt;&gt;0,'[1]p30'!$F$58,"")</f>
        <v>90</v>
      </c>
      <c r="G88" s="474"/>
      <c r="H88" s="474">
        <f>IF('[1]p30'!$E$58&lt;&gt;0,'[1]p30'!$E$58,"")</f>
        <v>6</v>
      </c>
      <c r="I88" s="474"/>
      <c r="J88" s="474">
        <f>IF('[1]p30'!$I$58&lt;&gt;0,'[1]p30'!$I$58,"")</f>
        <v>57</v>
      </c>
      <c r="K88" s="474"/>
      <c r="L88" s="24"/>
      <c r="M88" s="474">
        <f>IF('[1]p30'!$K$58&lt;&gt;0,'[1]p30'!$K$58,"")</f>
        <v>16</v>
      </c>
      <c r="N88" s="474"/>
      <c r="O88" s="24"/>
      <c r="P88" s="24">
        <f>IF('[1]p30'!$L$58&lt;&gt;0,'[1]p30'!$L$58,"")</f>
        <v>10</v>
      </c>
      <c r="Q88" s="42"/>
      <c r="R88" s="474">
        <f>IF('[1]p30'!$J$58&lt;&gt;0,'[1]p30'!$J$58,"")</f>
        <v>31</v>
      </c>
      <c r="S88" s="474"/>
    </row>
    <row r="89" spans="1:19" s="34" customFormat="1" ht="11.25">
      <c r="A89" s="387" t="str">
        <f>T('[1]p31'!$C$13:$G$13)</f>
        <v>Rosana Marques da Silva</v>
      </c>
      <c r="B89" s="385"/>
      <c r="C89" s="385"/>
      <c r="D89" s="385"/>
      <c r="E89" s="401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</row>
    <row r="90" spans="1:19" s="2" customFormat="1" ht="13.5" customHeight="1">
      <c r="A90" s="413" t="str">
        <f>IF('[1]p31'!$A$57&lt;&gt;0,'[1]p31'!$A$57,"")</f>
        <v>O Computador como Instrumento de Ensino - T 01</v>
      </c>
      <c r="B90" s="413"/>
      <c r="C90" s="413"/>
      <c r="D90" s="413"/>
      <c r="E90" s="413"/>
      <c r="F90" s="474">
        <f>IF('[1]p31'!$F$57&lt;&gt;0,'[1]p31'!$F$57,"")</f>
        <v>60</v>
      </c>
      <c r="G90" s="474"/>
      <c r="H90" s="474">
        <f>IF('[1]p31'!$E$57&lt;&gt;0,'[1]p31'!$E$57,"")</f>
        <v>3</v>
      </c>
      <c r="I90" s="474"/>
      <c r="J90" s="474">
        <f>IF('[1]p31'!$I$57&lt;&gt;0,'[1]p31'!$I$57,"")</f>
        <v>17</v>
      </c>
      <c r="K90" s="474"/>
      <c r="L90" s="24"/>
      <c r="M90" s="474">
        <f>IF('[1]p31'!$K$57&lt;&gt;0,'[1]p31'!$K$57,"")</f>
        <v>3</v>
      </c>
      <c r="N90" s="474"/>
      <c r="O90" s="24"/>
      <c r="P90" s="24">
        <f>IF('[1]p31'!$L$57&lt;&gt;0,'[1]p31'!$L$57,"")</f>
      </c>
      <c r="Q90" s="42"/>
      <c r="R90" s="474">
        <f>IF('[1]p31'!$J$57&lt;&gt;0,'[1]p31'!$J$57,"")</f>
        <v>14</v>
      </c>
      <c r="S90" s="474"/>
    </row>
    <row r="91" spans="1:19" s="2" customFormat="1" ht="13.5" customHeight="1">
      <c r="A91" s="413" t="str">
        <f>IF('[1]p31'!$A$58&lt;&gt;0,'[1]p31'!$A$58,"")</f>
        <v>Tópicos de Matemática Aplicada - T 01</v>
      </c>
      <c r="B91" s="413"/>
      <c r="C91" s="413"/>
      <c r="D91" s="413"/>
      <c r="E91" s="413"/>
      <c r="F91" s="474">
        <f>IF('[1]p31'!$F$58&lt;&gt;0,'[1]p31'!$F$58,"")</f>
        <v>60</v>
      </c>
      <c r="G91" s="474"/>
      <c r="H91" s="474">
        <f>IF('[1]p31'!$E$58&lt;&gt;0,'[1]p31'!$E$58,"")</f>
        <v>4</v>
      </c>
      <c r="I91" s="474"/>
      <c r="J91" s="474">
        <f>IF('[1]p31'!$I$58&lt;&gt;0,'[1]p31'!$I$58,"")</f>
        <v>8</v>
      </c>
      <c r="K91" s="474"/>
      <c r="L91" s="24"/>
      <c r="M91" s="474">
        <f>IF('[1]p31'!$K$58&lt;&gt;0,'[1]p31'!$K$58,"")</f>
      </c>
      <c r="N91" s="474"/>
      <c r="O91" s="24"/>
      <c r="P91" s="24">
        <f>IF('[1]p31'!$L$58&lt;&gt;0,'[1]p31'!$L$58,"")</f>
        <v>1</v>
      </c>
      <c r="Q91" s="42"/>
      <c r="R91" s="474">
        <f>IF('[1]p31'!$J$58&lt;&gt;0,'[1]p31'!$J$58,"")</f>
        <v>7</v>
      </c>
      <c r="S91" s="474"/>
    </row>
    <row r="92" spans="1:19" s="34" customFormat="1" ht="11.25">
      <c r="A92" s="387" t="str">
        <f>T('[1]p32'!$C$13:$G$13)</f>
        <v>Rosângela Silveira do Nascimento</v>
      </c>
      <c r="B92" s="385"/>
      <c r="C92" s="385"/>
      <c r="D92" s="385"/>
      <c r="E92" s="401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</row>
    <row r="93" spans="1:19" s="2" customFormat="1" ht="13.5" customHeight="1">
      <c r="A93" s="413" t="str">
        <f>IF('[1]p32'!$A$57&lt;&gt;0,'[1]p32'!$A$57,"")</f>
        <v>Estatística Aplicada ao Design - T 01</v>
      </c>
      <c r="B93" s="413"/>
      <c r="C93" s="413"/>
      <c r="D93" s="413"/>
      <c r="E93" s="413"/>
      <c r="F93" s="474">
        <f>IF('[1]p32'!$F$57&lt;&gt;0,'[1]p32'!$F$57,"")</f>
        <v>60</v>
      </c>
      <c r="G93" s="474"/>
      <c r="H93" s="474">
        <f>IF('[1]p32'!$E$57&lt;&gt;0,'[1]p32'!$E$57,"")</f>
      </c>
      <c r="I93" s="474"/>
      <c r="J93" s="474">
        <f>IF('[1]p32'!$I$57&lt;&gt;0,'[1]p32'!$I$57,"")</f>
        <v>33</v>
      </c>
      <c r="K93" s="474"/>
      <c r="L93" s="24"/>
      <c r="M93" s="474">
        <f>IF('[1]p32'!$K$57&lt;&gt;0,'[1]p32'!$K$57,"")</f>
        <v>7</v>
      </c>
      <c r="N93" s="474"/>
      <c r="O93" s="24"/>
      <c r="P93" s="24">
        <f>IF('[1]p32'!$L$57&lt;&gt;0,'[1]p32'!$L$57,"")</f>
        <v>4</v>
      </c>
      <c r="Q93" s="42"/>
      <c r="R93" s="474">
        <f>IF('[1]p32'!$J$57&lt;&gt;0,'[1]p32'!$J$57,"")</f>
        <v>22</v>
      </c>
      <c r="S93" s="474"/>
    </row>
    <row r="94" spans="1:19" s="2" customFormat="1" ht="13.5" customHeight="1">
      <c r="A94" s="413" t="str">
        <f>IF('[1]p32'!$A$58&lt;&gt;0,'[1]p32'!$A$58,"")</f>
        <v>Estatística Descritiva - T 02</v>
      </c>
      <c r="B94" s="413"/>
      <c r="C94" s="413"/>
      <c r="D94" s="413"/>
      <c r="E94" s="413"/>
      <c r="F94" s="474">
        <f>IF('[1]p32'!$F$58&lt;&gt;0,'[1]p32'!$F$58,"")</f>
        <v>60</v>
      </c>
      <c r="G94" s="474"/>
      <c r="H94" s="474">
        <f>IF('[1]p32'!$E$58&lt;&gt;0,'[1]p32'!$E$58,"")</f>
      </c>
      <c r="I94" s="474"/>
      <c r="J94" s="474">
        <f>IF('[1]p32'!$I$58&lt;&gt;0,'[1]p32'!$I$58,"")</f>
        <v>21</v>
      </c>
      <c r="K94" s="474"/>
      <c r="L94" s="24"/>
      <c r="M94" s="474">
        <f>IF('[1]p32'!$K$58&lt;&gt;0,'[1]p32'!$K$58,"")</f>
        <v>8</v>
      </c>
      <c r="N94" s="474"/>
      <c r="O94" s="24"/>
      <c r="P94" s="24">
        <f>IF('[1]p32'!$L$58&lt;&gt;0,'[1]p32'!$L$58,"")</f>
        <v>3</v>
      </c>
      <c r="Q94" s="42"/>
      <c r="R94" s="474">
        <f>IF('[1]p32'!$J$58&lt;&gt;0,'[1]p32'!$J$58,"")</f>
        <v>10</v>
      </c>
      <c r="S94" s="474"/>
    </row>
    <row r="95" spans="1:19" s="2" customFormat="1" ht="13.5" customHeight="1">
      <c r="A95" s="413" t="str">
        <f>IF('[1]p32'!$A$59&lt;&gt;0,'[1]p32'!$A$59,"")</f>
        <v>Introdução à Probabilidade - T 01</v>
      </c>
      <c r="B95" s="413"/>
      <c r="C95" s="413"/>
      <c r="D95" s="413"/>
      <c r="E95" s="413"/>
      <c r="F95" s="474">
        <f>IF('[1]p32'!$F$59&lt;&gt;0,'[1]p32'!$F$59,"")</f>
        <v>60</v>
      </c>
      <c r="G95" s="474"/>
      <c r="H95" s="474">
        <f>IF('[1]p32'!$E$59&lt;&gt;0,'[1]p32'!$E$59,"")</f>
      </c>
      <c r="I95" s="474"/>
      <c r="J95" s="474">
        <f>IF('[1]p32'!$I$59&lt;&gt;0,'[1]p32'!$I$59,"")</f>
        <v>35</v>
      </c>
      <c r="K95" s="474"/>
      <c r="L95" s="24"/>
      <c r="M95" s="474">
        <f>IF('[1]p32'!$K$59&lt;&gt;0,'[1]p32'!$K$59,"")</f>
        <v>3</v>
      </c>
      <c r="N95" s="474"/>
      <c r="O95" s="24"/>
      <c r="P95" s="24">
        <f>IF('[1]p32'!$L$59&lt;&gt;0,'[1]p32'!$L$59,"")</f>
        <v>3</v>
      </c>
      <c r="Q95" s="42"/>
      <c r="R95" s="474">
        <f>IF('[1]p32'!$J$59&lt;&gt;0,'[1]p32'!$J$59,"")</f>
        <v>29</v>
      </c>
      <c r="S95" s="474"/>
    </row>
    <row r="96" spans="1:19" s="34" customFormat="1" ht="11.25">
      <c r="A96" s="387" t="str">
        <f>T('[1]p33'!$C$13:$G$13)</f>
        <v>Sérgio Mota Alves</v>
      </c>
      <c r="B96" s="385"/>
      <c r="C96" s="385"/>
      <c r="D96" s="385"/>
      <c r="E96" s="401"/>
      <c r="F96" s="475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  <c r="S96" s="476"/>
    </row>
    <row r="97" spans="1:19" s="2" customFormat="1" ht="13.5" customHeight="1">
      <c r="A97" s="413" t="str">
        <f>IF('[1]p33'!$A$57&lt;&gt;0,'[1]p33'!$A$57,"")</f>
        <v>Álgebra I - T 01</v>
      </c>
      <c r="B97" s="413"/>
      <c r="C97" s="413"/>
      <c r="D97" s="413"/>
      <c r="E97" s="413"/>
      <c r="F97" s="474">
        <f>IF('[1]p33'!$F$57&lt;&gt;0,'[1]p33'!$F$57,"")</f>
        <v>60</v>
      </c>
      <c r="G97" s="474"/>
      <c r="H97" s="474">
        <f>IF('[1]p33'!$E$57&lt;&gt;0,'[1]p33'!$E$57,"")</f>
        <v>4</v>
      </c>
      <c r="I97" s="474"/>
      <c r="J97" s="474">
        <f>IF('[1]p33'!$I$57&lt;&gt;0,'[1]p33'!$I$57,"")</f>
        <v>17</v>
      </c>
      <c r="K97" s="474"/>
      <c r="L97" s="24"/>
      <c r="M97" s="474">
        <f>IF('[1]p33'!$K$57&lt;&gt;0,'[1]p33'!$K$57,"")</f>
        <v>5</v>
      </c>
      <c r="N97" s="474"/>
      <c r="O97" s="24"/>
      <c r="P97" s="24">
        <f>IF('[1]p33'!$L$57&lt;&gt;0,'[1]p33'!$L$57,"")</f>
      </c>
      <c r="Q97" s="42"/>
      <c r="R97" s="474">
        <f>IF('[1]p33'!$J$57&lt;&gt;0,'[1]p33'!$J$57,"")</f>
        <v>12</v>
      </c>
      <c r="S97" s="474"/>
    </row>
    <row r="98" spans="1:19" s="2" customFormat="1" ht="13.5" customHeight="1">
      <c r="A98" s="413" t="str">
        <f>IF('[1]p33'!$A$58&lt;&gt;0,'[1]p33'!$A$58,"")</f>
        <v>Álgebra Linear I -  T 04</v>
      </c>
      <c r="B98" s="413"/>
      <c r="C98" s="413"/>
      <c r="D98" s="413"/>
      <c r="E98" s="413"/>
      <c r="F98" s="474">
        <f>IF('[1]p33'!$F$58&lt;&gt;0,'[1]p33'!$F$58,"")</f>
        <v>60</v>
      </c>
      <c r="G98" s="474"/>
      <c r="H98" s="474">
        <f>IF('[1]p33'!$E$58&lt;&gt;0,'[1]p33'!$E$58,"")</f>
        <v>4</v>
      </c>
      <c r="I98" s="474"/>
      <c r="J98" s="474">
        <f>IF('[1]p33'!$I$58&lt;&gt;0,'[1]p33'!$I$58,"")</f>
        <v>63</v>
      </c>
      <c r="K98" s="474"/>
      <c r="L98" s="24"/>
      <c r="M98" s="474">
        <f>IF('[1]p33'!$K$58&lt;&gt;0,'[1]p33'!$K$58,"")</f>
        <v>11</v>
      </c>
      <c r="N98" s="474"/>
      <c r="O98" s="24"/>
      <c r="P98" s="24">
        <f>IF('[1]p33'!$L$58&lt;&gt;0,'[1]p33'!$L$58,"")</f>
        <v>11</v>
      </c>
      <c r="Q98" s="42"/>
      <c r="R98" s="474">
        <f>IF('[1]p33'!$J$58&lt;&gt;0,'[1]p33'!$J$58,"")</f>
        <v>41</v>
      </c>
      <c r="S98" s="474"/>
    </row>
    <row r="99" spans="1:19" s="34" customFormat="1" ht="11.25">
      <c r="A99" s="387" t="str">
        <f>T('[1]p34'!$C$13:$G$13)</f>
        <v>Vandik Estevam Barbosa</v>
      </c>
      <c r="B99" s="385"/>
      <c r="C99" s="385"/>
      <c r="D99" s="385"/>
      <c r="E99" s="401"/>
      <c r="F99" s="475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</row>
    <row r="100" spans="1:19" s="2" customFormat="1" ht="13.5" customHeight="1">
      <c r="A100" s="413" t="str">
        <f>IF('[1]p34'!$A$57&lt;&gt;0,'[1]p34'!$A$57,"")</f>
        <v>Cálculo Diferencial e Integral II - T 02</v>
      </c>
      <c r="B100" s="413"/>
      <c r="C100" s="413"/>
      <c r="D100" s="413"/>
      <c r="E100" s="413"/>
      <c r="F100" s="474">
        <f>IF('[1]p34'!$F$57&lt;&gt;0,'[1]p34'!$F$57,"")</f>
        <v>60</v>
      </c>
      <c r="G100" s="474"/>
      <c r="H100" s="474">
        <f>IF('[1]p34'!$E$57&lt;&gt;0,'[1]p34'!$E$57,"")</f>
        <v>4</v>
      </c>
      <c r="I100" s="474"/>
      <c r="J100" s="474">
        <f>IF('[1]p34'!$I$57&lt;&gt;0,'[1]p34'!$I$57,"")</f>
        <v>61</v>
      </c>
      <c r="K100" s="474"/>
      <c r="L100" s="24"/>
      <c r="M100" s="474">
        <f>IF('[1]p34'!$K$57&lt;&gt;0,'[1]p34'!$K$57,"")</f>
        <v>11</v>
      </c>
      <c r="N100" s="474"/>
      <c r="O100" s="24"/>
      <c r="P100" s="24">
        <f>IF('[1]p34'!$L$57&lt;&gt;0,'[1]p34'!$L$57,"")</f>
        <v>26</v>
      </c>
      <c r="Q100" s="42"/>
      <c r="R100" s="474">
        <f>IF('[1]p34'!$J$57&lt;&gt;0,'[1]p34'!$J$57,"")</f>
        <v>24</v>
      </c>
      <c r="S100" s="474"/>
    </row>
    <row r="101" spans="1:19" s="2" customFormat="1" ht="13.5" customHeight="1">
      <c r="A101" s="413" t="str">
        <f>IF('[1]p34'!$A$58&lt;&gt;0,'[1]p34'!$A$58,"")</f>
        <v>Cálculo Diferencial e Integral II - T 04</v>
      </c>
      <c r="B101" s="413"/>
      <c r="C101" s="413"/>
      <c r="D101" s="413"/>
      <c r="E101" s="413"/>
      <c r="F101" s="474">
        <f>IF('[1]p34'!$F$58&lt;&gt;0,'[1]p34'!$F$58,"")</f>
        <v>60</v>
      </c>
      <c r="G101" s="474"/>
      <c r="H101" s="474">
        <f>IF('[1]p34'!$E$58&lt;&gt;0,'[1]p34'!$E$58,"")</f>
        <v>4</v>
      </c>
      <c r="I101" s="474"/>
      <c r="J101" s="474">
        <f>IF('[1]p34'!$I$58&lt;&gt;0,'[1]p34'!$I$58,"")</f>
        <v>61</v>
      </c>
      <c r="K101" s="474"/>
      <c r="L101" s="24"/>
      <c r="M101" s="474">
        <f>IF('[1]p34'!$K$58&lt;&gt;0,'[1]p34'!$K$58,"")</f>
        <v>10</v>
      </c>
      <c r="N101" s="474"/>
      <c r="O101" s="24"/>
      <c r="P101" s="24">
        <f>IF('[1]p34'!$L$58&lt;&gt;0,'[1]p34'!$L$58,"")</f>
        <v>26</v>
      </c>
      <c r="Q101" s="42"/>
      <c r="R101" s="474">
        <f>IF('[1]p34'!$J$58&lt;&gt;0,'[1]p34'!$J$58,"")</f>
        <v>25</v>
      </c>
      <c r="S101" s="474"/>
    </row>
    <row r="102" spans="1:19" s="2" customFormat="1" ht="13.5" customHeight="1">
      <c r="A102" s="413" t="str">
        <f>IF('[1]p34'!$A$59&lt;&gt;0,'[1]p34'!$A$59,"")</f>
        <v>Cálculo Difer. e Integral II (Comp.+Elétr.) - T 02</v>
      </c>
      <c r="B102" s="413"/>
      <c r="C102" s="413"/>
      <c r="D102" s="413"/>
      <c r="E102" s="413"/>
      <c r="F102" s="474">
        <f>IF('[1]p34'!$F$59&lt;&gt;0,'[1]p34'!$F$59,"")</f>
        <v>60</v>
      </c>
      <c r="G102" s="474"/>
      <c r="H102" s="474">
        <f>IF('[1]p34'!$E$59&lt;&gt;0,'[1]p34'!$E$59,"")</f>
        <v>4</v>
      </c>
      <c r="I102" s="474"/>
      <c r="J102" s="474">
        <f>IF('[1]p34'!$I$59&lt;&gt;0,'[1]p34'!$I$59,"")</f>
        <v>60</v>
      </c>
      <c r="K102" s="474"/>
      <c r="L102" s="24"/>
      <c r="M102" s="474">
        <f>IF('[1]p34'!$K$59&lt;&gt;0,'[1]p34'!$K$59,"")</f>
        <v>12</v>
      </c>
      <c r="N102" s="474"/>
      <c r="O102" s="24"/>
      <c r="P102" s="24">
        <f>IF('[1]p34'!$L$59&lt;&gt;0,'[1]p34'!$L$59,"")</f>
        <v>23</v>
      </c>
      <c r="Q102" s="42"/>
      <c r="R102" s="474">
        <f>IF('[1]p34'!$J$59&lt;&gt;0,'[1]p34'!$J$59,"")</f>
        <v>25</v>
      </c>
      <c r="S102" s="474"/>
    </row>
    <row r="103" spans="1:19" s="34" customFormat="1" ht="11.25">
      <c r="A103" s="387" t="str">
        <f>T('[1]p35'!$C$13:$G$13)</f>
        <v>Vanio Fragoso de Melo</v>
      </c>
      <c r="B103" s="385"/>
      <c r="C103" s="385"/>
      <c r="D103" s="385"/>
      <c r="E103" s="401"/>
      <c r="F103" s="475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  <c r="R103" s="476"/>
      <c r="S103" s="476"/>
    </row>
    <row r="104" spans="1:19" s="2" customFormat="1" ht="13.5" customHeight="1">
      <c r="A104" s="413" t="str">
        <f>IF('[1]p35'!$A$57&lt;&gt;0,'[1]p35'!$A$57,"")</f>
        <v>Álgebra Linear (Elétrica+Computação) - T 01</v>
      </c>
      <c r="B104" s="413"/>
      <c r="C104" s="413"/>
      <c r="D104" s="413"/>
      <c r="E104" s="413"/>
      <c r="F104" s="474">
        <f>IF('[1]p35'!$F$57&lt;&gt;0,'[1]p35'!$F$57,"")</f>
        <v>60</v>
      </c>
      <c r="G104" s="474"/>
      <c r="H104" s="474">
        <f>IF('[1]p35'!$E$57&lt;&gt;0,'[1]p35'!$E$57,"")</f>
        <v>4</v>
      </c>
      <c r="I104" s="474"/>
      <c r="J104" s="474">
        <f>IF('[1]p35'!$I$57&lt;&gt;0,'[1]p35'!$I$57,"")</f>
        <v>59</v>
      </c>
      <c r="K104" s="474"/>
      <c r="L104" s="24"/>
      <c r="M104" s="474">
        <f>IF('[1]p35'!$K$57&lt;&gt;0,'[1]p35'!$K$57,"")</f>
        <v>5</v>
      </c>
      <c r="N104" s="474"/>
      <c r="O104" s="24"/>
      <c r="P104" s="24">
        <f>IF('[1]p35'!$L$57&lt;&gt;0,'[1]p35'!$L$57,"")</f>
        <v>10</v>
      </c>
      <c r="Q104" s="42"/>
      <c r="R104" s="474">
        <f>IF('[1]p35'!$J$57&lt;&gt;0,'[1]p35'!$J$57,"")</f>
        <v>44</v>
      </c>
      <c r="S104" s="474"/>
    </row>
    <row r="105" spans="1:19" s="2" customFormat="1" ht="13.5" customHeight="1">
      <c r="A105" s="413" t="str">
        <f>IF('[1]p35'!$A$58&lt;&gt;0,'[1]p35'!$A$58,"")</f>
        <v>Álgebra Linear I - T 06</v>
      </c>
      <c r="B105" s="413"/>
      <c r="C105" s="413"/>
      <c r="D105" s="413"/>
      <c r="E105" s="413"/>
      <c r="F105" s="474">
        <f>IF('[1]p35'!$F$58&lt;&gt;0,'[1]p35'!$F$58,"")</f>
        <v>60</v>
      </c>
      <c r="G105" s="474"/>
      <c r="H105" s="474">
        <f>IF('[1]p35'!$E$58&lt;&gt;0,'[1]p35'!$E$58,"")</f>
        <v>4</v>
      </c>
      <c r="I105" s="474"/>
      <c r="J105" s="474">
        <f>IF('[1]p35'!$I$58&lt;&gt;0,'[1]p35'!$I$58,"")</f>
        <v>58</v>
      </c>
      <c r="K105" s="474"/>
      <c r="L105" s="24"/>
      <c r="M105" s="474">
        <f>IF('[1]p35'!$K$58&lt;&gt;0,'[1]p35'!$K$58,"")</f>
        <v>14</v>
      </c>
      <c r="N105" s="474"/>
      <c r="O105" s="24"/>
      <c r="P105" s="24">
        <f>IF('[1]p35'!$L$58&lt;&gt;0,'[1]p35'!$L$58,"")</f>
        <v>15</v>
      </c>
      <c r="Q105" s="42"/>
      <c r="R105" s="474">
        <f>IF('[1]p35'!$J$58&lt;&gt;0,'[1]p35'!$J$58,"")</f>
        <v>29</v>
      </c>
      <c r="S105" s="474"/>
    </row>
    <row r="106" spans="1:19" s="34" customFormat="1" ht="11.25">
      <c r="A106" s="382" t="str">
        <f>T('[1]p36'!$C$13:$G$13)</f>
        <v>Areli Mesquita da Silva</v>
      </c>
      <c r="B106" s="381"/>
      <c r="C106" s="381"/>
      <c r="D106" s="381"/>
      <c r="E106" s="384"/>
      <c r="F106" s="475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</row>
    <row r="107" spans="1:19" s="2" customFormat="1" ht="13.5" customHeight="1">
      <c r="A107" s="413" t="str">
        <f>IF('[1]p36'!$A$57&lt;&gt;0,'[1]p36'!$A$57,"")</f>
        <v>Probabilidade e Estatística - T 04</v>
      </c>
      <c r="B107" s="413"/>
      <c r="C107" s="413"/>
      <c r="D107" s="413"/>
      <c r="E107" s="413"/>
      <c r="F107" s="474">
        <f>IF('[1]p36'!$F$57&lt;&gt;0,'[1]p36'!$F$57,"")</f>
        <v>90</v>
      </c>
      <c r="G107" s="474"/>
      <c r="H107" s="474">
        <f>IF('[1]p36'!$E$57&lt;&gt;0,'[1]p36'!$E$57,"")</f>
        <v>6</v>
      </c>
      <c r="I107" s="474"/>
      <c r="J107" s="474">
        <f>IF('[1]p36'!$I$57&lt;&gt;0,'[1]p36'!$I$57,"")</f>
        <v>16</v>
      </c>
      <c r="K107" s="474"/>
      <c r="L107" s="24"/>
      <c r="M107" s="474">
        <f>IF('[1]p36'!$K$57&lt;&gt;0,'[1]p36'!$K$57,"")</f>
        <v>7</v>
      </c>
      <c r="N107" s="474"/>
      <c r="O107" s="24"/>
      <c r="P107" s="24">
        <f>IF('[1]p36'!$L$57&lt;&gt;0,'[1]p36'!$L$57,"")</f>
        <v>2</v>
      </c>
      <c r="Q107" s="42"/>
      <c r="R107" s="474">
        <f>IF('[1]p36'!$J$57&lt;&gt;0,'[1]p36'!$J$57,"")</f>
        <v>7</v>
      </c>
      <c r="S107" s="474"/>
    </row>
    <row r="108" spans="1:19" s="2" customFormat="1" ht="13.5" customHeight="1">
      <c r="A108" s="413" t="str">
        <f>IF('[1]p36'!$A$58&lt;&gt;0,'[1]p36'!$A$58,"")</f>
        <v>Probabilidade e Estatística (Comp.+Elétr.) -T 01</v>
      </c>
      <c r="B108" s="413"/>
      <c r="C108" s="413"/>
      <c r="D108" s="413"/>
      <c r="E108" s="413"/>
      <c r="F108" s="474">
        <f>IF('[1]p36'!$F$58&lt;&gt;0,'[1]p36'!$F$58,"")</f>
        <v>60</v>
      </c>
      <c r="G108" s="474"/>
      <c r="H108" s="474">
        <f>IF('[1]p36'!$E$58&lt;&gt;0,'[1]p36'!$E$58,"")</f>
        <v>4</v>
      </c>
      <c r="I108" s="474"/>
      <c r="J108" s="474">
        <f>IF('[1]p36'!$I$58&lt;&gt;0,'[1]p36'!$I$58,"")</f>
        <v>40</v>
      </c>
      <c r="K108" s="474"/>
      <c r="L108" s="24"/>
      <c r="M108" s="474">
        <f>IF('[1]p36'!$K$58&lt;&gt;0,'[1]p36'!$K$58,"")</f>
        <v>8</v>
      </c>
      <c r="N108" s="474"/>
      <c r="O108" s="24"/>
      <c r="P108" s="24">
        <f>IF('[1]p36'!$L$58&lt;&gt;0,'[1]p36'!$L$58,"")</f>
        <v>4</v>
      </c>
      <c r="Q108" s="42"/>
      <c r="R108" s="474">
        <f>IF('[1]p36'!$J$58&lt;&gt;0,'[1]p36'!$J$58,"")</f>
        <v>28</v>
      </c>
      <c r="S108" s="474"/>
    </row>
    <row r="109" spans="1:19" s="2" customFormat="1" ht="13.5" customHeight="1">
      <c r="A109" s="413" t="str">
        <f>IF('[1]p36'!$A$59&lt;&gt;0,'[1]p36'!$A$59,"")</f>
        <v>Probabilidade e Estatística (Comp.+Elétr.) -T 02</v>
      </c>
      <c r="B109" s="413"/>
      <c r="C109" s="413"/>
      <c r="D109" s="413"/>
      <c r="E109" s="413"/>
      <c r="F109" s="474">
        <f>IF('[1]p36'!$F$59&lt;&gt;0,'[1]p36'!$F$59,"")</f>
        <v>60</v>
      </c>
      <c r="G109" s="474"/>
      <c r="H109" s="474">
        <f>IF('[1]p36'!$E$59&lt;&gt;0,'[1]p36'!$E$59,"")</f>
        <v>4</v>
      </c>
      <c r="I109" s="474"/>
      <c r="J109" s="474">
        <f>IF('[1]p36'!$I$59&lt;&gt;0,'[1]p36'!$I$59,"")</f>
        <v>56</v>
      </c>
      <c r="K109" s="474"/>
      <c r="L109" s="24"/>
      <c r="M109" s="474">
        <f>IF('[1]p36'!$K$59&lt;&gt;0,'[1]p36'!$K$59,"")</f>
        <v>22</v>
      </c>
      <c r="N109" s="474"/>
      <c r="O109" s="24"/>
      <c r="P109" s="24">
        <f>IF('[1]p36'!$L$59&lt;&gt;0,'[1]p36'!$L$59,"")</f>
        <v>14</v>
      </c>
      <c r="Q109" s="42"/>
      <c r="R109" s="474">
        <f>IF('[1]p36'!$J$59&lt;&gt;0,'[1]p36'!$J$59,"")</f>
        <v>20</v>
      </c>
      <c r="S109" s="474"/>
    </row>
    <row r="110" spans="1:19" s="174" customFormat="1" ht="11.25">
      <c r="A110" s="382" t="str">
        <f>T('[1]p37'!$C$13:$G$13)</f>
        <v>Cícero Januário Guimarães </v>
      </c>
      <c r="B110" s="381"/>
      <c r="C110" s="381"/>
      <c r="D110" s="381"/>
      <c r="E110" s="384"/>
      <c r="F110" s="475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</row>
    <row r="111" spans="1:19" s="2" customFormat="1" ht="13.5" customHeight="1">
      <c r="A111" s="413" t="str">
        <f>IF('[1]p37'!$A$57&lt;&gt;0,'[1]p37'!$A$57,"")</f>
        <v>Álgebra Vetorial e Geometria Analítica - T 05</v>
      </c>
      <c r="B111" s="413"/>
      <c r="C111" s="413"/>
      <c r="D111" s="413"/>
      <c r="E111" s="413"/>
      <c r="F111" s="474">
        <f>IF('[1]p37'!$F$57&lt;&gt;0,'[1]p37'!$F$57,"")</f>
        <v>36</v>
      </c>
      <c r="G111" s="474"/>
      <c r="H111" s="474">
        <f>IF('[1]p37'!$E$57&lt;&gt;0,'[1]p37'!$E$57,"")</f>
        <v>2.4</v>
      </c>
      <c r="I111" s="474"/>
      <c r="J111" s="474">
        <f>IF('[1]p37'!$I$57&lt;&gt;0,'[1]p37'!$I$57,"")</f>
      </c>
      <c r="K111" s="474"/>
      <c r="L111" s="24"/>
      <c r="M111" s="474">
        <f>IF('[1]p37'!$K$57&lt;&gt;0,'[1]p37'!$K$57,"")</f>
      </c>
      <c r="N111" s="474"/>
      <c r="O111" s="24"/>
      <c r="P111" s="24">
        <f>IF('[1]p37'!$L$57&lt;&gt;0,'[1]p37'!$L$57,"")</f>
      </c>
      <c r="Q111" s="42"/>
      <c r="R111" s="474">
        <f>IF('[1]p37'!$J$57&lt;&gt;0,'[1]p37'!$J$57,"")</f>
      </c>
      <c r="S111" s="474"/>
    </row>
    <row r="112" spans="1:19" s="2" customFormat="1" ht="13.5" customHeight="1">
      <c r="A112" s="413" t="str">
        <f>IF('[1]p37'!$A$58&lt;&gt;0,'[1]p37'!$A$58,"")</f>
        <v>Álgebra Vetorial e Geometria Analítica - T 06</v>
      </c>
      <c r="B112" s="413"/>
      <c r="C112" s="413"/>
      <c r="D112" s="413"/>
      <c r="E112" s="413"/>
      <c r="F112" s="474">
        <f>IF('[1]p37'!$F$58&lt;&gt;0,'[1]p37'!$F$58,"")</f>
        <v>36</v>
      </c>
      <c r="G112" s="474"/>
      <c r="H112" s="474">
        <f>IF('[1]p37'!$E$58&lt;&gt;0,'[1]p37'!$E$58,"")</f>
        <v>2.4</v>
      </c>
      <c r="I112" s="474"/>
      <c r="J112" s="474">
        <f>IF('[1]p37'!$I$58&lt;&gt;0,'[1]p37'!$I$58,"")</f>
      </c>
      <c r="K112" s="474"/>
      <c r="L112" s="24"/>
      <c r="M112" s="474">
        <f>IF('[1]p37'!$K$58&lt;&gt;0,'[1]p37'!$K$58,"")</f>
      </c>
      <c r="N112" s="474"/>
      <c r="O112" s="24"/>
      <c r="P112" s="24">
        <f>IF('[1]p37'!$L$58&lt;&gt;0,'[1]p37'!$L$58,"")</f>
      </c>
      <c r="Q112" s="42"/>
      <c r="R112" s="474">
        <f>IF('[1]p37'!$J$58&lt;&gt;0,'[1]p37'!$J$58,"")</f>
      </c>
      <c r="S112" s="474"/>
    </row>
    <row r="113" spans="1:19" s="2" customFormat="1" ht="13.5" customHeight="1">
      <c r="A113" s="413" t="str">
        <f>IF('[1]p37'!$A$59&lt;&gt;0,'[1]p37'!$A$59,"")</f>
        <v>Cálculo Difer. e Integral II (Comp.+Elétr.) - T 01</v>
      </c>
      <c r="B113" s="413"/>
      <c r="C113" s="413"/>
      <c r="D113" s="413"/>
      <c r="E113" s="413"/>
      <c r="F113" s="474">
        <f>IF('[1]p37'!$F$59&lt;&gt;0,'[1]p37'!$F$59,"")</f>
        <v>38</v>
      </c>
      <c r="G113" s="474"/>
      <c r="H113" s="474">
        <f>IF('[1]p37'!$E$59&lt;&gt;0,'[1]p37'!$E$59,"")</f>
        <v>2.5</v>
      </c>
      <c r="I113" s="474"/>
      <c r="J113" s="474">
        <f>IF('[1]p37'!$I$59&lt;&gt;0,'[1]p37'!$I$59,"")</f>
      </c>
      <c r="K113" s="474"/>
      <c r="L113" s="24"/>
      <c r="M113" s="474">
        <f>IF('[1]p37'!$K$59&lt;&gt;0,'[1]p37'!$K$59,"")</f>
      </c>
      <c r="N113" s="474"/>
      <c r="O113" s="24"/>
      <c r="P113" s="24">
        <f>IF('[1]p37'!$L$59&lt;&gt;0,'[1]p37'!$L$59,"")</f>
      </c>
      <c r="Q113" s="42"/>
      <c r="R113" s="474">
        <f>IF('[1]p37'!$J$59&lt;&gt;0,'[1]p37'!$J$59,"")</f>
      </c>
      <c r="S113" s="474"/>
    </row>
    <row r="114" spans="1:19" s="2" customFormat="1" ht="13.5" customHeight="1">
      <c r="A114" s="413" t="str">
        <f>IF('[1]p37'!$A$60&lt;&gt;0,'[1]p37'!$A$60,"")</f>
        <v>Matemática Aplicada à Administração I - T 01</v>
      </c>
      <c r="B114" s="413"/>
      <c r="C114" s="413"/>
      <c r="D114" s="413"/>
      <c r="E114" s="413"/>
      <c r="F114" s="474">
        <f>IF('[1]p37'!$F$60&lt;&gt;0,'[1]p37'!$F$60,"")</f>
        <v>42</v>
      </c>
      <c r="G114" s="474"/>
      <c r="H114" s="474">
        <f>IF('[1]p37'!$E$60&lt;&gt;0,'[1]p37'!$E$60,"")</f>
        <v>2.8</v>
      </c>
      <c r="I114" s="474"/>
      <c r="J114" s="474">
        <f>IF('[1]p37'!$I$60&lt;&gt;0,'[1]p37'!$I$60,"")</f>
      </c>
      <c r="K114" s="474"/>
      <c r="L114" s="24"/>
      <c r="M114" s="474">
        <f>IF('[1]p37'!$K$60&lt;&gt;0,'[1]p37'!$K$60,"")</f>
      </c>
      <c r="N114" s="474"/>
      <c r="O114" s="24"/>
      <c r="P114" s="24">
        <f>IF('[1]p37'!$L$60&lt;&gt;0,'[1]p37'!$L$60,"")</f>
      </c>
      <c r="Q114" s="42"/>
      <c r="R114" s="474">
        <f>IF('[1]p37'!$J$60&lt;&gt;0,'[1]p37'!$J$60,"")</f>
      </c>
      <c r="S114" s="474"/>
    </row>
    <row r="115" spans="1:19" s="34" customFormat="1" ht="11.25">
      <c r="A115" s="387" t="str">
        <f>T('[1]p38'!$C$13:$G$13)</f>
        <v>Fernanda Clara de França Silva</v>
      </c>
      <c r="B115" s="385"/>
      <c r="C115" s="385"/>
      <c r="D115" s="385"/>
      <c r="E115" s="401"/>
      <c r="F115" s="475"/>
      <c r="G115" s="476"/>
      <c r="H115" s="476"/>
      <c r="I115" s="476"/>
      <c r="J115" s="476"/>
      <c r="K115" s="476"/>
      <c r="L115" s="476"/>
      <c r="M115" s="476"/>
      <c r="N115" s="476"/>
      <c r="O115" s="476"/>
      <c r="P115" s="476"/>
      <c r="Q115" s="476"/>
      <c r="R115" s="476"/>
      <c r="S115" s="476"/>
    </row>
    <row r="116" spans="1:19" s="2" customFormat="1" ht="13.5" customHeight="1">
      <c r="A116" s="413" t="str">
        <f>IF('[1]p38'!$A$57&lt;&gt;0,'[1]p38'!$A$57,"")</f>
        <v>Álgebra Vetorial e Geometria Analítica - T 03</v>
      </c>
      <c r="B116" s="413"/>
      <c r="C116" s="413"/>
      <c r="D116" s="413"/>
      <c r="E116" s="413"/>
      <c r="F116" s="474">
        <f>IF('[1]p38'!$F$57&lt;&gt;0,'[1]p38'!$F$57,"")</f>
        <v>60</v>
      </c>
      <c r="G116" s="474"/>
      <c r="H116" s="474">
        <f>IF('[1]p38'!$E$57&lt;&gt;0,'[1]p38'!$E$57,"")</f>
        <v>4</v>
      </c>
      <c r="I116" s="474"/>
      <c r="J116" s="474">
        <f>IF('[1]p38'!$I$57&lt;&gt;0,'[1]p38'!$I$57,"")</f>
        <v>60</v>
      </c>
      <c r="K116" s="474"/>
      <c r="L116" s="24"/>
      <c r="M116" s="474">
        <f>IF('[1]p38'!$K$57&lt;&gt;0,'[1]p38'!$K$57,"")</f>
        <v>9</v>
      </c>
      <c r="N116" s="474"/>
      <c r="O116" s="24"/>
      <c r="P116" s="24">
        <f>IF('[1]p38'!$L$57&lt;&gt;0,'[1]p38'!$L$57,"")</f>
        <v>13</v>
      </c>
      <c r="Q116" s="42"/>
      <c r="R116" s="474">
        <f>IF('[1]p38'!$J$57&lt;&gt;0,'[1]p38'!$J$57,"")</f>
        <v>38</v>
      </c>
      <c r="S116" s="474"/>
    </row>
    <row r="117" spans="1:19" s="2" customFormat="1" ht="13.5" customHeight="1">
      <c r="A117" s="413" t="str">
        <f>IF('[1]p38'!$A$58&lt;&gt;0,'[1]p38'!$A$58,"")</f>
        <v>Matemática Aplicada à Administração II - T 01</v>
      </c>
      <c r="B117" s="413"/>
      <c r="C117" s="413"/>
      <c r="D117" s="413"/>
      <c r="E117" s="413"/>
      <c r="F117" s="474">
        <f>IF('[1]p38'!$F$58&lt;&gt;0,'[1]p38'!$F$58,"")</f>
        <v>60</v>
      </c>
      <c r="G117" s="474"/>
      <c r="H117" s="474">
        <f>IF('[1]p38'!$E$58&lt;&gt;0,'[1]p38'!$E$58,"")</f>
        <v>4</v>
      </c>
      <c r="I117" s="474"/>
      <c r="J117" s="474">
        <f>IF('[1]p38'!$I$58&lt;&gt;0,'[1]p38'!$I$58,"")</f>
        <v>24</v>
      </c>
      <c r="K117" s="474"/>
      <c r="L117" s="24"/>
      <c r="M117" s="474">
        <f>IF('[1]p38'!$K$58&lt;&gt;0,'[1]p38'!$K$58,"")</f>
        <v>7</v>
      </c>
      <c r="N117" s="474"/>
      <c r="O117" s="24"/>
      <c r="P117" s="24">
        <f>IF('[1]p38'!$L$58&lt;&gt;0,'[1]p38'!$L$58,"")</f>
      </c>
      <c r="Q117" s="42"/>
      <c r="R117" s="474">
        <f>IF('[1]p38'!$J$58&lt;&gt;0,'[1]p38'!$J$58,"")</f>
        <v>17</v>
      </c>
      <c r="S117" s="474"/>
    </row>
    <row r="118" spans="1:19" s="2" customFormat="1" ht="13.5" customHeight="1">
      <c r="A118" s="413" t="str">
        <f>IF('[1]p38'!$A$59&lt;&gt;0,'[1]p38'!$A$59,"")</f>
        <v>Matemática Aplicada à Administração II - T 02</v>
      </c>
      <c r="B118" s="413"/>
      <c r="C118" s="413"/>
      <c r="D118" s="413"/>
      <c r="E118" s="413"/>
      <c r="F118" s="474">
        <f>IF('[1]p38'!$F$59&lt;&gt;0,'[1]p38'!$F$59,"")</f>
        <v>60</v>
      </c>
      <c r="G118" s="474"/>
      <c r="H118" s="474">
        <f>IF('[1]p38'!$E$59&lt;&gt;0,'[1]p38'!$E$59,"")</f>
        <v>4</v>
      </c>
      <c r="I118" s="474"/>
      <c r="J118" s="474">
        <f>IF('[1]p38'!$I$59&lt;&gt;0,'[1]p38'!$I$59,"")</f>
        <v>34</v>
      </c>
      <c r="K118" s="474"/>
      <c r="L118" s="24"/>
      <c r="M118" s="474">
        <f>IF('[1]p38'!$K$59&lt;&gt;0,'[1]p38'!$K$59,"")</f>
        <v>10</v>
      </c>
      <c r="N118" s="474"/>
      <c r="O118" s="24"/>
      <c r="P118" s="24">
        <f>IF('[1]p38'!$L$59&lt;&gt;0,'[1]p38'!$L$59,"")</f>
      </c>
      <c r="Q118" s="42"/>
      <c r="R118" s="474">
        <f>IF('[1]p38'!$J$59&lt;&gt;0,'[1]p38'!$J$59,"")</f>
        <v>24</v>
      </c>
      <c r="S118" s="474"/>
    </row>
    <row r="119" spans="1:19" s="2" customFormat="1" ht="13.5" customHeight="1">
      <c r="A119" s="413" t="str">
        <f>IF('[1]p38'!$A$60&lt;&gt;0,'[1]p38'!$A$60,"")</f>
        <v>Métodos Quantitativos I - T 01</v>
      </c>
      <c r="B119" s="413"/>
      <c r="C119" s="413"/>
      <c r="D119" s="413"/>
      <c r="E119" s="413"/>
      <c r="F119" s="474">
        <f>IF('[1]p38'!$F$60&lt;&gt;0,'[1]p38'!$F$60,"")</f>
        <v>60</v>
      </c>
      <c r="G119" s="474"/>
      <c r="H119" s="474">
        <f>IF('[1]p38'!$E$60&lt;&gt;0,'[1]p38'!$E$60,"")</f>
        <v>4</v>
      </c>
      <c r="I119" s="474"/>
      <c r="J119" s="474">
        <f>IF('[1]p38'!$I$60&lt;&gt;0,'[1]p38'!$I$60,"")</f>
        <v>60</v>
      </c>
      <c r="K119" s="474"/>
      <c r="L119" s="24"/>
      <c r="M119" s="474">
        <f>IF('[1]p38'!$K$60&lt;&gt;0,'[1]p38'!$K$60,"")</f>
        <v>17</v>
      </c>
      <c r="N119" s="474"/>
      <c r="O119" s="24"/>
      <c r="P119" s="24">
        <f>IF('[1]p38'!$L$60&lt;&gt;0,'[1]p38'!$L$60,"")</f>
        <v>7</v>
      </c>
      <c r="Q119" s="42"/>
      <c r="R119" s="474">
        <f>IF('[1]p38'!$J$60&lt;&gt;0,'[1]p38'!$J$60,"")</f>
        <v>36</v>
      </c>
      <c r="S119" s="474"/>
    </row>
    <row r="120" spans="1:19" s="34" customFormat="1" ht="11.25">
      <c r="A120" s="387" t="str">
        <f>T('[1]p39'!$C$13:$G$13)</f>
        <v>Grayci Mary Gonçalves Leal</v>
      </c>
      <c r="B120" s="385"/>
      <c r="C120" s="385"/>
      <c r="D120" s="385"/>
      <c r="E120" s="401"/>
      <c r="F120" s="475"/>
      <c r="G120" s="476"/>
      <c r="H120" s="476"/>
      <c r="I120" s="476"/>
      <c r="J120" s="476"/>
      <c r="K120" s="476"/>
      <c r="L120" s="476"/>
      <c r="M120" s="476"/>
      <c r="N120" s="476"/>
      <c r="O120" s="476"/>
      <c r="P120" s="476"/>
      <c r="Q120" s="476"/>
      <c r="R120" s="476"/>
      <c r="S120" s="476"/>
    </row>
    <row r="121" spans="1:19" s="2" customFormat="1" ht="13.5" customHeight="1">
      <c r="A121" s="413" t="str">
        <f>IF('[1]p39'!$A$57&lt;&gt;0,'[1]p39'!$A$57,"")</f>
        <v>Probabilidade e Estatística- T 03</v>
      </c>
      <c r="B121" s="413"/>
      <c r="C121" s="413"/>
      <c r="D121" s="413"/>
      <c r="E121" s="413"/>
      <c r="F121" s="474">
        <f>IF('[1]p39'!$F$57&lt;&gt;0,'[1]p39'!$F$57,"")</f>
        <v>60</v>
      </c>
      <c r="G121" s="474"/>
      <c r="H121" s="474">
        <f>IF('[1]p39'!$E$57&lt;&gt;0,'[1]p39'!$E$57,"")</f>
        <v>4</v>
      </c>
      <c r="I121" s="474"/>
      <c r="J121" s="474">
        <f>IF('[1]p39'!$I$57&lt;&gt;0,'[1]p39'!$I$57,"")</f>
        <v>40</v>
      </c>
      <c r="K121" s="474"/>
      <c r="L121" s="24"/>
      <c r="M121" s="474">
        <f>IF('[1]p39'!$K$57&lt;&gt;0,'[1]p39'!$K$57,"")</f>
        <v>11</v>
      </c>
      <c r="N121" s="474"/>
      <c r="O121" s="24"/>
      <c r="P121" s="24">
        <f>IF('[1]p39'!$L$57&lt;&gt;0,'[1]p39'!$L$57,"")</f>
        <v>8</v>
      </c>
      <c r="Q121" s="42"/>
      <c r="R121" s="474">
        <f>IF('[1]p39'!$J$57&lt;&gt;0,'[1]p39'!$J$57,"")</f>
        <v>21</v>
      </c>
      <c r="S121" s="474"/>
    </row>
    <row r="122" spans="1:19" s="2" customFormat="1" ht="13.5" customHeight="1">
      <c r="A122" s="413" t="str">
        <f>IF('[1]p39'!$A$58&lt;&gt;0,'[1]p39'!$A$58,"")</f>
        <v>Estatística Aplic. a C. Sociais II -T 01 </v>
      </c>
      <c r="B122" s="413"/>
      <c r="C122" s="413"/>
      <c r="D122" s="413"/>
      <c r="E122" s="413"/>
      <c r="F122" s="474">
        <f>IF('[1]p39'!$F$58&lt;&gt;0,'[1]p39'!$F$58,"")</f>
        <v>45</v>
      </c>
      <c r="G122" s="474"/>
      <c r="H122" s="474">
        <f>IF('[1]p39'!$E$58&lt;&gt;0,'[1]p39'!$E$58,"")</f>
        <v>3</v>
      </c>
      <c r="I122" s="474"/>
      <c r="J122" s="474">
        <f>IF('[1]p39'!$I$58&lt;&gt;0,'[1]p39'!$I$58,"")</f>
        <v>19</v>
      </c>
      <c r="K122" s="474"/>
      <c r="L122" s="24"/>
      <c r="M122" s="474">
        <f>IF('[1]p39'!$K$58&lt;&gt;0,'[1]p39'!$K$58,"")</f>
        <v>8</v>
      </c>
      <c r="N122" s="474"/>
      <c r="O122" s="24"/>
      <c r="P122" s="24">
        <f>IF('[1]p39'!$L$58&lt;&gt;0,'[1]p39'!$L$58,"")</f>
        <v>2</v>
      </c>
      <c r="Q122" s="42"/>
      <c r="R122" s="474">
        <f>IF('[1]p39'!$J$58&lt;&gt;0,'[1]p39'!$J$58,"")</f>
        <v>9</v>
      </c>
      <c r="S122" s="474"/>
    </row>
    <row r="123" spans="1:19" s="2" customFormat="1" ht="13.5" customHeight="1">
      <c r="A123" s="413" t="str">
        <f>IF('[1]p39'!$A$59&lt;&gt;0,'[1]p39'!$A$59,"")</f>
        <v>Estatística Descritiva – T 01</v>
      </c>
      <c r="B123" s="413"/>
      <c r="C123" s="413"/>
      <c r="D123" s="413"/>
      <c r="E123" s="413"/>
      <c r="F123" s="474">
        <f>IF('[1]p39'!$F$59&lt;&gt;0,'[1]p39'!$F$59,"")</f>
        <v>45</v>
      </c>
      <c r="G123" s="474"/>
      <c r="H123" s="474">
        <f>IF('[1]p39'!$E$59&lt;&gt;0,'[1]p39'!$E$59,"")</f>
        <v>3</v>
      </c>
      <c r="I123" s="474"/>
      <c r="J123" s="474">
        <f>IF('[1]p39'!$I$59&lt;&gt;0,'[1]p39'!$I$59,"")</f>
        <v>30</v>
      </c>
      <c r="K123" s="474"/>
      <c r="L123" s="24"/>
      <c r="M123" s="474">
        <f>IF('[1]p39'!$K$59&lt;&gt;0,'[1]p39'!$K$59,"")</f>
        <v>2</v>
      </c>
      <c r="N123" s="474"/>
      <c r="O123" s="24"/>
      <c r="P123" s="24">
        <f>IF('[1]p39'!$L$59&lt;&gt;0,'[1]p39'!$L$59,"")</f>
        <v>3</v>
      </c>
      <c r="Q123" s="42"/>
      <c r="R123" s="474">
        <f>IF('[1]p39'!$J$59&lt;&gt;0,'[1]p39'!$J$59,"")</f>
        <v>25</v>
      </c>
      <c r="S123" s="474"/>
    </row>
    <row r="124" spans="1:19" s="34" customFormat="1" ht="11.25">
      <c r="A124" s="387" t="str">
        <f>T('[1]p40'!$C$13:$G$13)</f>
        <v>Hallyson Gustavo Guedes de M. Lima</v>
      </c>
      <c r="B124" s="385"/>
      <c r="C124" s="385"/>
      <c r="D124" s="385"/>
      <c r="E124" s="401"/>
      <c r="F124" s="475"/>
      <c r="G124" s="476"/>
      <c r="H124" s="476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  <c r="S124" s="476"/>
    </row>
    <row r="125" spans="1:19" s="2" customFormat="1" ht="13.5" customHeight="1">
      <c r="A125" s="413" t="str">
        <f>IF('[1]p40'!$A$57&lt;&gt;0,'[1]p40'!$A$57,"")</f>
        <v>Álgebra Vetorial e Geometria Analítica - T 01</v>
      </c>
      <c r="B125" s="413"/>
      <c r="C125" s="413"/>
      <c r="D125" s="413"/>
      <c r="E125" s="413"/>
      <c r="F125" s="474">
        <f>IF('[1]p40'!$F$57&lt;&gt;0,'[1]p40'!$F$57,"")</f>
        <v>13</v>
      </c>
      <c r="G125" s="474"/>
      <c r="H125" s="474">
        <f>IF('[1]p40'!$E$57&lt;&gt;0,'[1]p40'!$E$57,"")</f>
        <v>1.5</v>
      </c>
      <c r="I125" s="474"/>
      <c r="J125" s="474">
        <f>IF('[1]p40'!$I$57&lt;&gt;0,'[1]p40'!$I$57,"")</f>
      </c>
      <c r="K125" s="474"/>
      <c r="L125" s="24"/>
      <c r="M125" s="474">
        <f>IF('[1]p40'!$K$57&lt;&gt;0,'[1]p40'!$K$57,"")</f>
      </c>
      <c r="N125" s="474"/>
      <c r="O125" s="24"/>
      <c r="P125" s="24">
        <f>IF('[1]p40'!$L$57&lt;&gt;0,'[1]p40'!$L$57,"")</f>
      </c>
      <c r="Q125" s="42"/>
      <c r="R125" s="474">
        <f>IF('[1]p40'!$J$57&lt;&gt;0,'[1]p40'!$J$57,"")</f>
      </c>
      <c r="S125" s="474"/>
    </row>
    <row r="126" spans="1:19" s="2" customFormat="1" ht="13.5" customHeight="1">
      <c r="A126" s="413" t="str">
        <f>IF('[1]p40'!$A$58&lt;&gt;0,'[1]p40'!$A$58,"")</f>
        <v>Cálculo Difer. e Integral I (Comp.+Elétr.) - T 03</v>
      </c>
      <c r="B126" s="413"/>
      <c r="C126" s="413"/>
      <c r="D126" s="413"/>
      <c r="E126" s="413"/>
      <c r="F126" s="474">
        <f>IF('[1]p40'!$F$58&lt;&gt;0,'[1]p40'!$F$58,"")</f>
        <v>12</v>
      </c>
      <c r="G126" s="474"/>
      <c r="H126" s="474">
        <f>IF('[1]p40'!$E$58&lt;&gt;0,'[1]p40'!$E$58,"")</f>
        <v>1.5</v>
      </c>
      <c r="I126" s="474"/>
      <c r="J126" s="474">
        <f>IF('[1]p40'!$I$58&lt;&gt;0,'[1]p40'!$I$58,"")</f>
      </c>
      <c r="K126" s="474"/>
      <c r="L126" s="24"/>
      <c r="M126" s="474">
        <f>IF('[1]p40'!$K$58&lt;&gt;0,'[1]p40'!$K$58,"")</f>
      </c>
      <c r="N126" s="474"/>
      <c r="O126" s="24"/>
      <c r="P126" s="24">
        <f>IF('[1]p40'!$L$58&lt;&gt;0,'[1]p40'!$L$58,"")</f>
      </c>
      <c r="Q126" s="42"/>
      <c r="R126" s="474">
        <f>IF('[1]p40'!$J$58&lt;&gt;0,'[1]p40'!$J$58,"")</f>
      </c>
      <c r="S126" s="474"/>
    </row>
    <row r="127" spans="1:19" s="2" customFormat="1" ht="13.5" customHeight="1">
      <c r="A127" s="413" t="str">
        <f>IF('[1]p40'!$A$59&lt;&gt;0,'[1]p40'!$A$59,"")</f>
        <v>Cálculo Diferencial e Integral II - T 01</v>
      </c>
      <c r="B127" s="413"/>
      <c r="C127" s="413"/>
      <c r="D127" s="413"/>
      <c r="E127" s="413"/>
      <c r="F127" s="474">
        <f>IF('[1]p40'!$F$59&lt;&gt;0,'[1]p40'!$F$59,"")</f>
        <v>15</v>
      </c>
      <c r="G127" s="474"/>
      <c r="H127" s="474">
        <f>IF('[1]p40'!$E$59&lt;&gt;0,'[1]p40'!$E$59,"")</f>
        <v>1.5</v>
      </c>
      <c r="I127" s="474"/>
      <c r="J127" s="474">
        <f>IF('[1]p40'!$I$59&lt;&gt;0,'[1]p40'!$I$59,"")</f>
      </c>
      <c r="K127" s="474"/>
      <c r="L127" s="24"/>
      <c r="M127" s="474">
        <f>IF('[1]p40'!$K$59&lt;&gt;0,'[1]p40'!$K$59,"")</f>
      </c>
      <c r="N127" s="474"/>
      <c r="O127" s="24"/>
      <c r="P127" s="24">
        <f>IF('[1]p40'!$L$59&lt;&gt;0,'[1]p40'!$L$59,"")</f>
      </c>
      <c r="Q127" s="42"/>
      <c r="R127" s="474">
        <f>IF('[1]p40'!$J$59&lt;&gt;0,'[1]p40'!$J$59,"")</f>
      </c>
      <c r="S127" s="474"/>
    </row>
    <row r="128" spans="1:19" s="2" customFormat="1" ht="13.5" customHeight="1">
      <c r="A128" s="413" t="str">
        <f>IF('[1]p40'!$A$60&lt;&gt;0,'[1]p40'!$A$60,"")</f>
        <v>Cálculo Diferencial e Integral II - T 03</v>
      </c>
      <c r="B128" s="413"/>
      <c r="C128" s="413"/>
      <c r="D128" s="413"/>
      <c r="E128" s="413"/>
      <c r="F128" s="474">
        <f>IF('[1]p40'!$F$60&lt;&gt;0,'[1]p40'!$F$60,"")</f>
        <v>15</v>
      </c>
      <c r="G128" s="474"/>
      <c r="H128" s="474">
        <f>IF('[1]p40'!$E$60&lt;&gt;0,'[1]p40'!$E$60,"")</f>
        <v>1.5</v>
      </c>
      <c r="I128" s="474"/>
      <c r="J128" s="474">
        <f>IF('[1]p40'!$I$60&lt;&gt;0,'[1]p40'!$I$60,"")</f>
      </c>
      <c r="K128" s="474"/>
      <c r="L128" s="24"/>
      <c r="M128" s="474">
        <f>IF('[1]p40'!$K$60&lt;&gt;0,'[1]p40'!$K$60,"")</f>
      </c>
      <c r="N128" s="474"/>
      <c r="O128" s="24"/>
      <c r="P128" s="24">
        <f>IF('[1]p40'!$L$60&lt;&gt;0,'[1]p40'!$L$60,"")</f>
      </c>
      <c r="Q128" s="42"/>
      <c r="R128" s="474">
        <f>IF('[1]p40'!$J$60&lt;&gt;0,'[1]p40'!$J$60,"")</f>
      </c>
      <c r="S128" s="474"/>
    </row>
    <row r="129" spans="1:19" s="34" customFormat="1" ht="11.25">
      <c r="A129" s="387" t="str">
        <f>T('[1]p41'!$C$13:$G$13)</f>
        <v>Hugo Bezerra Borba de Araújo</v>
      </c>
      <c r="B129" s="385"/>
      <c r="C129" s="385"/>
      <c r="D129" s="385"/>
      <c r="E129" s="401"/>
      <c r="F129" s="475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</row>
    <row r="130" spans="1:19" s="2" customFormat="1" ht="13.5" customHeight="1">
      <c r="A130" s="413" t="str">
        <f>IF('[1]p41'!$A$57&lt;&gt;0,'[1]p41'!$A$57,"")</f>
        <v>Calculo Dif. E Integral I (Comp+Eltr.) T 03</v>
      </c>
      <c r="B130" s="413"/>
      <c r="C130" s="413"/>
      <c r="D130" s="413"/>
      <c r="E130" s="413"/>
      <c r="F130" s="474">
        <f>IF('[1]p41'!$F$57&lt;&gt;0,'[1]p41'!$F$57,"")</f>
        <v>48</v>
      </c>
      <c r="G130" s="474"/>
      <c r="H130" s="474">
        <f>IF('[1]p41'!$E$57&lt;&gt;0,'[1]p41'!$E$57,"")</f>
        <v>2.5</v>
      </c>
      <c r="I130" s="474"/>
      <c r="J130" s="474">
        <f>IF('[1]p41'!$I$57&lt;&gt;0,'[1]p41'!$I$57,"")</f>
        <v>40</v>
      </c>
      <c r="K130" s="474"/>
      <c r="L130" s="24"/>
      <c r="M130" s="474">
        <f>IF('[1]p41'!$K$57&lt;&gt;0,'[1]p41'!$K$57,"")</f>
        <v>7</v>
      </c>
      <c r="N130" s="474"/>
      <c r="O130" s="24"/>
      <c r="P130" s="24">
        <f>IF('[1]p41'!$L$57&lt;&gt;0,'[1]p41'!$L$57,"")</f>
        <v>24</v>
      </c>
      <c r="Q130" s="42"/>
      <c r="R130" s="474">
        <f>IF('[1]p41'!$J$57&lt;&gt;0,'[1]p41'!$J$57,"")</f>
        <v>9</v>
      </c>
      <c r="S130" s="474"/>
    </row>
    <row r="131" spans="1:19" s="2" customFormat="1" ht="13.5" customHeight="1">
      <c r="A131" s="413" t="str">
        <f>IF('[1]p41'!$A$58&lt;&gt;0,'[1]p41'!$A$58,"")</f>
        <v>Cálculo Diferencial e Integral II - T 01</v>
      </c>
      <c r="B131" s="413"/>
      <c r="C131" s="413"/>
      <c r="D131" s="413"/>
      <c r="E131" s="413"/>
      <c r="F131" s="474">
        <f>IF('[1]p41'!$F$58&lt;&gt;0,'[1]p41'!$F$58,"")</f>
        <v>45</v>
      </c>
      <c r="G131" s="474"/>
      <c r="H131" s="474">
        <f>IF('[1]p41'!$E$58&lt;&gt;0,'[1]p41'!$E$58,"")</f>
        <v>2.5</v>
      </c>
      <c r="I131" s="474"/>
      <c r="J131" s="474">
        <f>IF('[1]p41'!$I$58&lt;&gt;0,'[1]p41'!$I$58,"")</f>
        <v>61</v>
      </c>
      <c r="K131" s="474"/>
      <c r="L131" s="24"/>
      <c r="M131" s="474">
        <f>IF('[1]p41'!$K$58&lt;&gt;0,'[1]p41'!$K$58,"")</f>
        <v>6</v>
      </c>
      <c r="N131" s="474"/>
      <c r="O131" s="24"/>
      <c r="P131" s="24">
        <f>IF('[1]p41'!$L$58&lt;&gt;0,'[1]p41'!$L$58,"")</f>
        <v>22</v>
      </c>
      <c r="Q131" s="42"/>
      <c r="R131" s="474">
        <f>IF('[1]p41'!$J$58&lt;&gt;0,'[1]p41'!$J$58,"")</f>
        <v>33</v>
      </c>
      <c r="S131" s="474"/>
    </row>
    <row r="132" spans="1:19" s="2" customFormat="1" ht="13.5" customHeight="1">
      <c r="A132" s="413" t="str">
        <f>IF('[1]p41'!$A$59&lt;&gt;0,'[1]p41'!$A$59,"")</f>
        <v>Cálculo Diferencial e Integral II - T 03</v>
      </c>
      <c r="B132" s="413"/>
      <c r="C132" s="413"/>
      <c r="D132" s="413"/>
      <c r="E132" s="413"/>
      <c r="F132" s="474">
        <f>IF('[1]p41'!$F$59&lt;&gt;0,'[1]p41'!$F$59,"")</f>
        <v>45</v>
      </c>
      <c r="G132" s="474"/>
      <c r="H132" s="474">
        <f>IF('[1]p41'!$E$59&lt;&gt;0,'[1]p41'!$E$59,"")</f>
        <v>2.5</v>
      </c>
      <c r="I132" s="474"/>
      <c r="J132" s="474">
        <f>IF('[1]p41'!$I$59&lt;&gt;0,'[1]p41'!$I$59,"")</f>
        <v>62</v>
      </c>
      <c r="K132" s="474"/>
      <c r="L132" s="24"/>
      <c r="M132" s="474">
        <f>IF('[1]p41'!$K$59&lt;&gt;0,'[1]p41'!$K$59,"")</f>
        <v>11</v>
      </c>
      <c r="N132" s="474"/>
      <c r="O132" s="24"/>
      <c r="P132" s="24">
        <f>IF('[1]p41'!$L$59&lt;&gt;0,'[1]p41'!$L$59,"")</f>
        <v>20</v>
      </c>
      <c r="Q132" s="42"/>
      <c r="R132" s="474">
        <f>IF('[1]p41'!$J$59&lt;&gt;0,'[1]p41'!$J$59,"")</f>
        <v>31</v>
      </c>
      <c r="S132" s="474"/>
    </row>
    <row r="133" spans="1:19" s="2" customFormat="1" ht="13.5" customHeight="1">
      <c r="A133" s="413" t="str">
        <f>IF('[1]p41'!$A$60&lt;&gt;0,'[1]p41'!$A$60,"")</f>
        <v>Álgebra Vetorial e Geometria Analítica - T01</v>
      </c>
      <c r="B133" s="413"/>
      <c r="C133" s="413"/>
      <c r="D133" s="413"/>
      <c r="E133" s="413"/>
      <c r="F133" s="474">
        <f>IF('[1]p41'!$F$60&lt;&gt;0,'[1]p41'!$F$60,"")</f>
        <v>44</v>
      </c>
      <c r="G133" s="474"/>
      <c r="H133" s="474">
        <f>IF('[1]p41'!$E$60&lt;&gt;0,'[1]p41'!$E$60,"")</f>
        <v>2.5</v>
      </c>
      <c r="I133" s="474"/>
      <c r="J133" s="474">
        <f>IF('[1]p41'!$I$60&lt;&gt;0,'[1]p41'!$I$60,"")</f>
        <v>60</v>
      </c>
      <c r="K133" s="474"/>
      <c r="L133" s="24"/>
      <c r="M133" s="474">
        <f>IF('[1]p41'!$K$60&lt;&gt;0,'[1]p41'!$K$60,"")</f>
        <v>3</v>
      </c>
      <c r="N133" s="474"/>
      <c r="O133" s="24"/>
      <c r="P133" s="24">
        <f>IF('[1]p41'!$L$60&lt;&gt;0,'[1]p41'!$L$60,"")</f>
        <v>7</v>
      </c>
      <c r="Q133" s="42"/>
      <c r="R133" s="474">
        <f>IF('[1]p41'!$J$60&lt;&gt;0,'[1]p41'!$J$60,"")</f>
        <v>50</v>
      </c>
      <c r="S133" s="474"/>
    </row>
    <row r="134" spans="1:19" s="34" customFormat="1" ht="11.25">
      <c r="A134" s="387" t="str">
        <f>T('[1]p42'!$C$13:$G$13)</f>
        <v> Ivaldo Maciel de Brito</v>
      </c>
      <c r="B134" s="385"/>
      <c r="C134" s="385"/>
      <c r="D134" s="385"/>
      <c r="E134" s="401"/>
      <c r="F134" s="475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  <c r="Q134" s="476"/>
      <c r="R134" s="476"/>
      <c r="S134" s="476"/>
    </row>
    <row r="135" spans="1:19" s="2" customFormat="1" ht="13.5" customHeight="1">
      <c r="A135" s="413" t="str">
        <f>IF('[1]p42'!$A$57&lt;&gt;0,'[1]p42'!$A$57,"")</f>
        <v>Álgebra Vetorial e Geometria Analítica T 05</v>
      </c>
      <c r="B135" s="413"/>
      <c r="C135" s="413"/>
      <c r="D135" s="413"/>
      <c r="E135" s="413"/>
      <c r="F135" s="474">
        <f>IF('[1]p42'!$F$57&lt;&gt;0,'[1]p42'!$F$57,"")</f>
        <v>24</v>
      </c>
      <c r="G135" s="474"/>
      <c r="H135" s="474">
        <f>IF('[1]p42'!$E$57&lt;&gt;0,'[1]p42'!$E$57,"")</f>
        <v>1.6</v>
      </c>
      <c r="I135" s="474"/>
      <c r="J135" s="474">
        <f>IF('[1]p42'!$I$57&lt;&gt;0,'[1]p42'!$I$57,"")</f>
        <v>60</v>
      </c>
      <c r="K135" s="474"/>
      <c r="L135" s="24"/>
      <c r="M135" s="474">
        <f>IF('[1]p42'!$K$57&lt;&gt;0,'[1]p42'!$K$57,"")</f>
        <v>9</v>
      </c>
      <c r="N135" s="474"/>
      <c r="O135" s="24"/>
      <c r="P135" s="24">
        <f>IF('[1]p42'!$L$57&lt;&gt;0,'[1]p42'!$L$57,"")</f>
        <v>29</v>
      </c>
      <c r="Q135" s="42"/>
      <c r="R135" s="474">
        <f>IF('[1]p42'!$J$57&lt;&gt;0,'[1]p42'!$J$57,"")</f>
        <v>22</v>
      </c>
      <c r="S135" s="474"/>
    </row>
    <row r="136" spans="1:19" s="2" customFormat="1" ht="13.5" customHeight="1">
      <c r="A136" s="413" t="str">
        <f>IF('[1]p42'!$A$58&lt;&gt;0,'[1]p42'!$A$58,"")</f>
        <v>Álgebra Vetorial e Geometria Analítica T 06</v>
      </c>
      <c r="B136" s="413"/>
      <c r="C136" s="413"/>
      <c r="D136" s="413"/>
      <c r="E136" s="413"/>
      <c r="F136" s="474">
        <f>IF('[1]p42'!$F$58&lt;&gt;0,'[1]p42'!$F$58,"")</f>
        <v>24</v>
      </c>
      <c r="G136" s="474"/>
      <c r="H136" s="474">
        <f>IF('[1]p42'!$E$58&lt;&gt;0,'[1]p42'!$E$58,"")</f>
        <v>1.6</v>
      </c>
      <c r="I136" s="474"/>
      <c r="J136" s="474">
        <f>IF('[1]p42'!$I$58&lt;&gt;0,'[1]p42'!$I$58,"")</f>
        <v>60</v>
      </c>
      <c r="K136" s="474"/>
      <c r="L136" s="24"/>
      <c r="M136" s="474">
        <f>IF('[1]p42'!$K$58&lt;&gt;0,'[1]p42'!$K$58,"")</f>
        <v>8</v>
      </c>
      <c r="N136" s="474"/>
      <c r="O136" s="24"/>
      <c r="P136" s="24">
        <f>IF('[1]p42'!$L$58&lt;&gt;0,'[1]p42'!$L$58,"")</f>
        <v>39</v>
      </c>
      <c r="Q136" s="42"/>
      <c r="R136" s="474">
        <f>IF('[1]p42'!$J$58&lt;&gt;0,'[1]p42'!$J$58,"")</f>
        <v>13</v>
      </c>
      <c r="S136" s="474"/>
    </row>
    <row r="137" spans="1:19" s="2" customFormat="1" ht="13.5" customHeight="1">
      <c r="A137" s="413" t="str">
        <f>IF('[1]p42'!$A$59&lt;&gt;0,'[1]p42'!$A$59,"")</f>
        <v>Cálculo Dif. e Integral II (Comp.+Eltr.) T 01</v>
      </c>
      <c r="B137" s="413"/>
      <c r="C137" s="413"/>
      <c r="D137" s="413"/>
      <c r="E137" s="413"/>
      <c r="F137" s="474">
        <f>IF('[1]p42'!$F$59&lt;&gt;0,'[1]p42'!$F$59,"")</f>
        <v>22</v>
      </c>
      <c r="G137" s="474"/>
      <c r="H137" s="474">
        <f>IF('[1]p42'!$E$59&lt;&gt;0,'[1]p42'!$E$59,"")</f>
        <v>1.5</v>
      </c>
      <c r="I137" s="474"/>
      <c r="J137" s="474">
        <f>IF('[1]p42'!$I$59&lt;&gt;0,'[1]p42'!$I$59,"")</f>
        <v>61</v>
      </c>
      <c r="K137" s="474"/>
      <c r="L137" s="24"/>
      <c r="M137" s="474">
        <f>IF('[1]p42'!$K$59&lt;&gt;0,'[1]p42'!$K$59,"")</f>
        <v>3</v>
      </c>
      <c r="N137" s="474"/>
      <c r="O137" s="24"/>
      <c r="P137" s="24">
        <f>IF('[1]p42'!$L$59&lt;&gt;0,'[1]p42'!$L$59,"")</f>
        <v>15</v>
      </c>
      <c r="Q137" s="42"/>
      <c r="R137" s="474">
        <f>IF('[1]p42'!$J$59&lt;&gt;0,'[1]p42'!$J$59,"")</f>
        <v>43</v>
      </c>
      <c r="S137" s="474"/>
    </row>
    <row r="138" spans="1:19" s="2" customFormat="1" ht="13.5" customHeight="1">
      <c r="A138" s="413" t="str">
        <f>IF('[1]p42'!$A$60&lt;&gt;0,'[1]p42'!$A$60,"")</f>
        <v>Matemática Aplicada à Administração I - T 01</v>
      </c>
      <c r="B138" s="413"/>
      <c r="C138" s="413"/>
      <c r="D138" s="413"/>
      <c r="E138" s="413"/>
      <c r="F138" s="474">
        <f>IF('[1]p42'!$F$60&lt;&gt;0,'[1]p42'!$F$60,"")</f>
        <v>18</v>
      </c>
      <c r="G138" s="474"/>
      <c r="H138" s="474">
        <f>IF('[1]p42'!$E$60&lt;&gt;0,'[1]p42'!$E$60,"")</f>
        <v>1.2</v>
      </c>
      <c r="I138" s="474"/>
      <c r="J138" s="474">
        <f>IF('[1]p42'!$I$60&lt;&gt;0,'[1]p42'!$I$60,"")</f>
        <v>60</v>
      </c>
      <c r="K138" s="474"/>
      <c r="L138" s="24"/>
      <c r="M138" s="474">
        <f>IF('[1]p42'!$K$60&lt;&gt;0,'[1]p42'!$K$60,"")</f>
        <v>17</v>
      </c>
      <c r="N138" s="474"/>
      <c r="O138" s="24"/>
      <c r="P138" s="24">
        <f>IF('[1]p42'!$L$60&lt;&gt;0,'[1]p42'!$L$60,"")</f>
        <v>15</v>
      </c>
      <c r="Q138" s="42"/>
      <c r="R138" s="474">
        <f>IF('[1]p42'!$J$60&lt;&gt;0,'[1]p42'!$J$60,"")</f>
        <v>28</v>
      </c>
      <c r="S138" s="474"/>
    </row>
    <row r="139" spans="1:19" s="34" customFormat="1" ht="11.25">
      <c r="A139" s="382" t="str">
        <f>T('[1]p43'!$C$13:$G$13)</f>
        <v>José Iraponil Costa Lima</v>
      </c>
      <c r="B139" s="381"/>
      <c r="C139" s="381"/>
      <c r="D139" s="381"/>
      <c r="E139" s="384"/>
      <c r="F139" s="475"/>
      <c r="G139" s="476"/>
      <c r="H139" s="476"/>
      <c r="I139" s="476"/>
      <c r="J139" s="476"/>
      <c r="K139" s="476"/>
      <c r="L139" s="476"/>
      <c r="M139" s="476"/>
      <c r="N139" s="476"/>
      <c r="O139" s="476"/>
      <c r="P139" s="476"/>
      <c r="Q139" s="476"/>
      <c r="R139" s="476"/>
      <c r="S139" s="476"/>
    </row>
    <row r="140" spans="1:19" s="2" customFormat="1" ht="13.5" customHeight="1">
      <c r="A140" s="413" t="str">
        <f>IF('[1]p43'!$A$57&lt;&gt;0,'[1]p43'!$A$57,"")</f>
        <v>Probabilidade e Estatística- T 03</v>
      </c>
      <c r="B140" s="413"/>
      <c r="C140" s="413"/>
      <c r="D140" s="413"/>
      <c r="E140" s="413"/>
      <c r="F140" s="474">
        <f>IF('[1]p43'!$F$57&lt;&gt;0,'[1]p43'!$F$57,"")</f>
        <v>30</v>
      </c>
      <c r="G140" s="474"/>
      <c r="H140" s="474">
        <f>IF('[1]p43'!$E$57&lt;&gt;0,'[1]p43'!$E$57,"")</f>
        <v>2</v>
      </c>
      <c r="I140" s="474"/>
      <c r="J140" s="474">
        <f>IF('[1]p43'!$I$57&lt;&gt;0,'[1]p43'!$I$57,"")</f>
      </c>
      <c r="K140" s="474"/>
      <c r="L140" s="24"/>
      <c r="M140" s="474">
        <f>IF('[1]p43'!$K$57&lt;&gt;0,'[1]p43'!$K$57,"")</f>
      </c>
      <c r="N140" s="474"/>
      <c r="O140" s="24"/>
      <c r="P140" s="24">
        <f>IF('[1]p43'!$L$57&lt;&gt;0,'[1]p43'!$L$57,"")</f>
      </c>
      <c r="Q140" s="42"/>
      <c r="R140" s="474">
        <f>IF('[1]p43'!$J$57&lt;&gt;0,'[1]p43'!$J$57,"")</f>
      </c>
      <c r="S140" s="474"/>
    </row>
    <row r="141" spans="1:19" s="2" customFormat="1" ht="13.5" customHeight="1">
      <c r="A141" s="413" t="str">
        <f>IF('[1]p43'!$A$58&lt;&gt;0,'[1]p43'!$A$58,"")</f>
        <v>Estatística Aplic. a C. Sociais II -T 01 </v>
      </c>
      <c r="B141" s="413"/>
      <c r="C141" s="413"/>
      <c r="D141" s="413"/>
      <c r="E141" s="413"/>
      <c r="F141" s="474">
        <f>IF('[1]p43'!$F$58&lt;&gt;0,'[1]p43'!$F$58,"")</f>
        <v>15</v>
      </c>
      <c r="G141" s="474"/>
      <c r="H141" s="474">
        <f>IF('[1]p43'!$E$58&lt;&gt;0,'[1]p43'!$E$58,"")</f>
        <v>1</v>
      </c>
      <c r="I141" s="474"/>
      <c r="J141" s="474">
        <f>IF('[1]p43'!$I$58&lt;&gt;0,'[1]p43'!$I$58,"")</f>
      </c>
      <c r="K141" s="474"/>
      <c r="L141" s="24"/>
      <c r="M141" s="474">
        <f>IF('[1]p43'!$K$58&lt;&gt;0,'[1]p43'!$K$58,"")</f>
      </c>
      <c r="N141" s="474"/>
      <c r="O141" s="24"/>
      <c r="P141" s="24">
        <f>IF('[1]p43'!$L$58&lt;&gt;0,'[1]p43'!$L$58,"")</f>
      </c>
      <c r="Q141" s="42"/>
      <c r="R141" s="474">
        <f>IF('[1]p43'!$J$58&lt;&gt;0,'[1]p43'!$J$58,"")</f>
      </c>
      <c r="S141" s="474"/>
    </row>
    <row r="142" spans="1:19" s="2" customFormat="1" ht="13.5" customHeight="1">
      <c r="A142" s="413" t="str">
        <f>IF('[1]p43'!$A$59&lt;&gt;0,'[1]p43'!$A$59,"")</f>
        <v>Estatística Descritiva – T 01</v>
      </c>
      <c r="B142" s="413"/>
      <c r="C142" s="413"/>
      <c r="D142" s="413"/>
      <c r="E142" s="413"/>
      <c r="F142" s="474">
        <f>IF('[1]p43'!$F$59&lt;&gt;0,'[1]p43'!$F$59,"")</f>
        <v>15</v>
      </c>
      <c r="G142" s="474"/>
      <c r="H142" s="474">
        <f>IF('[1]p43'!$E$59&lt;&gt;0,'[1]p43'!$E$59,"")</f>
        <v>1</v>
      </c>
      <c r="I142" s="474"/>
      <c r="J142" s="474">
        <f>IF('[1]p43'!$I$59&lt;&gt;0,'[1]p43'!$I$59,"")</f>
      </c>
      <c r="K142" s="474"/>
      <c r="L142" s="24"/>
      <c r="M142" s="474">
        <f>IF('[1]p43'!$K$59&lt;&gt;0,'[1]p43'!$K$59,"")</f>
      </c>
      <c r="N142" s="474"/>
      <c r="O142" s="24"/>
      <c r="P142" s="24">
        <f>IF('[1]p43'!$L$59&lt;&gt;0,'[1]p43'!$L$59,"")</f>
      </c>
      <c r="Q142" s="42"/>
      <c r="R142" s="474">
        <f>IF('[1]p43'!$J$59&lt;&gt;0,'[1]p43'!$J$59,"")</f>
      </c>
      <c r="S142" s="474"/>
    </row>
    <row r="143" spans="1:19" s="34" customFormat="1" ht="11.25">
      <c r="A143" s="382" t="str">
        <f>T('[1]p44'!$C$13:$G$13)</f>
        <v>José Vieira Alves</v>
      </c>
      <c r="B143" s="381"/>
      <c r="C143" s="381"/>
      <c r="D143" s="381"/>
      <c r="E143" s="384"/>
      <c r="F143" s="475"/>
      <c r="G143" s="476"/>
      <c r="H143" s="476"/>
      <c r="I143" s="476"/>
      <c r="J143" s="476"/>
      <c r="K143" s="476"/>
      <c r="L143" s="476"/>
      <c r="M143" s="476"/>
      <c r="N143" s="476"/>
      <c r="O143" s="476"/>
      <c r="P143" s="476"/>
      <c r="Q143" s="476"/>
      <c r="R143" s="476"/>
      <c r="S143" s="476"/>
    </row>
    <row r="144" spans="1:19" s="2" customFormat="1" ht="13.5" customHeight="1">
      <c r="A144" s="413" t="str">
        <f>IF('[1]p44'!$A$57&lt;&gt;0,'[1]p44'!$A$57,"")</f>
        <v>Cálculo Diferencial e Integral I - T 03</v>
      </c>
      <c r="B144" s="413"/>
      <c r="C144" s="413"/>
      <c r="D144" s="413"/>
      <c r="E144" s="413"/>
      <c r="F144" s="474">
        <f>IF('[1]p44'!$F$57&lt;&gt;0,'[1]p44'!$F$57,"")</f>
        <v>72</v>
      </c>
      <c r="G144" s="474"/>
      <c r="H144" s="474">
        <f>IF('[1]p44'!$E$57&lt;&gt;0,'[1]p44'!$E$57,"")</f>
        <v>5</v>
      </c>
      <c r="I144" s="474"/>
      <c r="J144" s="474">
        <f>IF('[1]p44'!$I$57&lt;&gt;0,'[1]p44'!$I$57,"")</f>
      </c>
      <c r="K144" s="474"/>
      <c r="L144" s="24"/>
      <c r="M144" s="474">
        <f>IF('[1]p44'!$K$57&lt;&gt;0,'[1]p44'!$K$57,"")</f>
      </c>
      <c r="N144" s="474"/>
      <c r="O144" s="24"/>
      <c r="P144" s="24">
        <f>IF('[1]p44'!$L$57&lt;&gt;0,'[1]p44'!$L$57,"")</f>
      </c>
      <c r="Q144" s="42"/>
      <c r="R144" s="474">
        <f>IF('[1]p44'!$J$57&lt;&gt;0,'[1]p44'!$J$57,"")</f>
      </c>
      <c r="S144" s="474"/>
    </row>
    <row r="145" spans="1:19" s="2" customFormat="1" ht="13.5" customHeight="1">
      <c r="A145" s="413" t="str">
        <f>IF('[1]p44'!$A$58&lt;&gt;0,'[1]p44'!$A$58,"")</f>
        <v>Cálculo Diferencial e Integral I - T 05</v>
      </c>
      <c r="B145" s="413"/>
      <c r="C145" s="413"/>
      <c r="D145" s="413"/>
      <c r="E145" s="413"/>
      <c r="F145" s="474">
        <f>IF('[1]p44'!$F$58&lt;&gt;0,'[1]p44'!$F$58,"")</f>
        <v>72</v>
      </c>
      <c r="G145" s="474"/>
      <c r="H145" s="474">
        <f>IF('[1]p44'!$E$58&lt;&gt;0,'[1]p44'!$E$58,"")</f>
        <v>5</v>
      </c>
      <c r="I145" s="474"/>
      <c r="J145" s="474">
        <f>IF('[1]p44'!$I$58&lt;&gt;0,'[1]p44'!$I$58,"")</f>
      </c>
      <c r="K145" s="474"/>
      <c r="L145" s="24"/>
      <c r="M145" s="474">
        <f>IF('[1]p44'!$K$58&lt;&gt;0,'[1]p44'!$K$58,"")</f>
      </c>
      <c r="N145" s="474"/>
      <c r="O145" s="24"/>
      <c r="P145" s="24">
        <f>IF('[1]p44'!$L$58&lt;&gt;0,'[1]p44'!$L$58,"")</f>
      </c>
      <c r="Q145" s="42"/>
      <c r="R145" s="474">
        <f>IF('[1]p44'!$J$58&lt;&gt;0,'[1]p44'!$J$58,"")</f>
      </c>
      <c r="S145" s="474"/>
    </row>
    <row r="146" spans="1:19" s="2" customFormat="1" ht="13.5" customHeight="1">
      <c r="A146" s="413" t="str">
        <f>IF('[1]p44'!$A$59&lt;&gt;0,'[1]p44'!$A$59,"")</f>
        <v>Métodos Quantitativos II - T 01</v>
      </c>
      <c r="B146" s="413"/>
      <c r="C146" s="413"/>
      <c r="D146" s="413"/>
      <c r="E146" s="413"/>
      <c r="F146" s="474">
        <f>IF('[1]p44'!$F$59&lt;&gt;0,'[1]p44'!$F$59,"")</f>
        <v>48</v>
      </c>
      <c r="G146" s="474"/>
      <c r="H146" s="474">
        <f>IF('[1]p44'!$E$59&lt;&gt;0,'[1]p44'!$E$59,"")</f>
        <v>3</v>
      </c>
      <c r="I146" s="474"/>
      <c r="J146" s="474">
        <f>IF('[1]p44'!$I$59&lt;&gt;0,'[1]p44'!$I$59,"")</f>
      </c>
      <c r="K146" s="474"/>
      <c r="L146" s="24"/>
      <c r="M146" s="474">
        <f>IF('[1]p44'!$K$59&lt;&gt;0,'[1]p44'!$K$59,"")</f>
      </c>
      <c r="N146" s="474"/>
      <c r="O146" s="24"/>
      <c r="P146" s="24">
        <f>IF('[1]p44'!$L$59&lt;&gt;0,'[1]p44'!$L$59,"")</f>
      </c>
      <c r="Q146" s="42"/>
      <c r="R146" s="474">
        <f>IF('[1]p44'!$J$59&lt;&gt;0,'[1]p44'!$J$59,"")</f>
      </c>
      <c r="S146" s="474"/>
    </row>
    <row r="147" spans="1:19" s="34" customFormat="1" ht="11.25">
      <c r="A147" s="387" t="str">
        <f>T('[1]p45'!$C$13:$G$13)</f>
        <v>Juliana Paula Correia</v>
      </c>
      <c r="B147" s="385"/>
      <c r="C147" s="385"/>
      <c r="D147" s="385"/>
      <c r="E147" s="401"/>
      <c r="F147" s="475"/>
      <c r="G147" s="476"/>
      <c r="H147" s="476"/>
      <c r="I147" s="476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</row>
    <row r="148" spans="1:19" s="2" customFormat="1" ht="13.5" customHeight="1">
      <c r="A148" s="413" t="str">
        <f>IF('[1]p45'!$A$57&lt;&gt;0,'[1]p45'!$A$57,"")</f>
        <v>Cálculo Diferencial e Integral I - T 03</v>
      </c>
      <c r="B148" s="413"/>
      <c r="C148" s="413"/>
      <c r="D148" s="413"/>
      <c r="E148" s="413"/>
      <c r="F148" s="474">
        <f>IF('[1]p45'!$F$57&lt;&gt;0,'[1]p45'!$F$57,"")</f>
        <v>18</v>
      </c>
      <c r="G148" s="474"/>
      <c r="H148" s="474">
        <f>IF('[1]p45'!$E$57&lt;&gt;0,'[1]p45'!$E$57,"")</f>
        <v>1</v>
      </c>
      <c r="I148" s="474"/>
      <c r="J148" s="474">
        <f>IF('[1]p45'!$I$57&lt;&gt;0,'[1]p45'!$I$57,"")</f>
        <v>60</v>
      </c>
      <c r="K148" s="474"/>
      <c r="L148" s="24"/>
      <c r="M148" s="474">
        <f>IF('[1]p45'!$K$57&lt;&gt;0,'[1]p45'!$K$57,"")</f>
        <v>15</v>
      </c>
      <c r="N148" s="474"/>
      <c r="O148" s="24"/>
      <c r="P148" s="24">
        <f>IF('[1]p45'!$L$57&lt;&gt;0,'[1]p45'!$L$57,"")</f>
        <v>26</v>
      </c>
      <c r="Q148" s="42"/>
      <c r="R148" s="474">
        <f>IF('[1]p45'!$J$57&lt;&gt;0,'[1]p45'!$J$57,"")</f>
        <v>19</v>
      </c>
      <c r="S148" s="474"/>
    </row>
    <row r="149" spans="1:19" s="2" customFormat="1" ht="13.5" customHeight="1">
      <c r="A149" s="413" t="str">
        <f>IF('[1]p45'!$A$58&lt;&gt;0,'[1]p45'!$A$58,"")</f>
        <v>Cálculo Diferencial e Integral I - T 05</v>
      </c>
      <c r="B149" s="413"/>
      <c r="C149" s="413"/>
      <c r="D149" s="413"/>
      <c r="E149" s="413"/>
      <c r="F149" s="474">
        <f>IF('[1]p45'!$F$58&lt;&gt;0,'[1]p45'!$F$58,"")</f>
        <v>18</v>
      </c>
      <c r="G149" s="474"/>
      <c r="H149" s="474">
        <f>IF('[1]p45'!$E$58&lt;&gt;0,'[1]p45'!$E$58,"")</f>
        <v>1</v>
      </c>
      <c r="I149" s="474"/>
      <c r="J149" s="474">
        <f>IF('[1]p45'!$I$58&lt;&gt;0,'[1]p45'!$I$58,"")</f>
        <v>60</v>
      </c>
      <c r="K149" s="474"/>
      <c r="L149" s="24"/>
      <c r="M149" s="474">
        <f>IF('[1]p45'!$K$58&lt;&gt;0,'[1]p45'!$K$58,"")</f>
        <v>17</v>
      </c>
      <c r="N149" s="474"/>
      <c r="O149" s="24"/>
      <c r="P149" s="24">
        <f>IF('[1]p45'!$L$58&lt;&gt;0,'[1]p45'!$L$58,"")</f>
        <v>36</v>
      </c>
      <c r="Q149" s="42"/>
      <c r="R149" s="474">
        <f>IF('[1]p45'!$J$58&lt;&gt;0,'[1]p45'!$J$58,"")</f>
        <v>7</v>
      </c>
      <c r="S149" s="474"/>
    </row>
    <row r="150" spans="1:19" s="2" customFormat="1" ht="13.5" customHeight="1">
      <c r="A150" s="413" t="str">
        <f>IF('[1]p45'!$A$59&lt;&gt;0,'[1]p45'!$A$59,"")</f>
        <v>Métodos Quantitativos II - T01</v>
      </c>
      <c r="B150" s="413"/>
      <c r="C150" s="413"/>
      <c r="D150" s="413"/>
      <c r="E150" s="413"/>
      <c r="F150" s="474">
        <f>IF('[1]p45'!$F$59&lt;&gt;0,'[1]p45'!$F$59,"")</f>
        <v>12</v>
      </c>
      <c r="G150" s="474"/>
      <c r="H150" s="474">
        <f>IF('[1]p45'!$E$59&lt;&gt;0,'[1]p45'!$E$59,"")</f>
        <v>1</v>
      </c>
      <c r="I150" s="474"/>
      <c r="J150" s="474">
        <f>IF('[1]p45'!$I$59&lt;&gt;0,'[1]p45'!$I$59,"")</f>
        <v>45</v>
      </c>
      <c r="K150" s="474"/>
      <c r="L150" s="24"/>
      <c r="M150" s="474">
        <f>IF('[1]p45'!$K$59&lt;&gt;0,'[1]p45'!$K$59,"")</f>
        <v>23</v>
      </c>
      <c r="N150" s="474"/>
      <c r="O150" s="24"/>
      <c r="P150" s="24">
        <f>IF('[1]p45'!$L$59&lt;&gt;0,'[1]p45'!$L$59,"")</f>
        <v>11</v>
      </c>
      <c r="Q150" s="42"/>
      <c r="R150" s="474">
        <f>IF('[1]p45'!$J$59&lt;&gt;0,'[1]p45'!$J$59,"")</f>
        <v>11</v>
      </c>
      <c r="S150" s="474"/>
    </row>
  </sheetData>
  <sheetProtection password="CEFE" sheet="1" objects="1" scenarios="1"/>
  <mergeCells count="717">
    <mergeCell ref="A147:E147"/>
    <mergeCell ref="F147:S147"/>
    <mergeCell ref="M63:N63"/>
    <mergeCell ref="R63:S63"/>
    <mergeCell ref="A63:E63"/>
    <mergeCell ref="F63:G63"/>
    <mergeCell ref="H63:I63"/>
    <mergeCell ref="J63:K63"/>
    <mergeCell ref="A146:E146"/>
    <mergeCell ref="F146:G146"/>
    <mergeCell ref="M149:N149"/>
    <mergeCell ref="R149:S149"/>
    <mergeCell ref="A149:E149"/>
    <mergeCell ref="F149:G149"/>
    <mergeCell ref="H149:I149"/>
    <mergeCell ref="J149:K149"/>
    <mergeCell ref="M150:N150"/>
    <mergeCell ref="R150:S150"/>
    <mergeCell ref="A150:E150"/>
    <mergeCell ref="F150:G150"/>
    <mergeCell ref="H150:I150"/>
    <mergeCell ref="J150:K150"/>
    <mergeCell ref="A148:E148"/>
    <mergeCell ref="F148:G148"/>
    <mergeCell ref="H148:I148"/>
    <mergeCell ref="J148:K148"/>
    <mergeCell ref="M148:N148"/>
    <mergeCell ref="R148:S148"/>
    <mergeCell ref="M145:N145"/>
    <mergeCell ref="R145:S145"/>
    <mergeCell ref="M146:N146"/>
    <mergeCell ref="R146:S146"/>
    <mergeCell ref="A145:E145"/>
    <mergeCell ref="F145:G145"/>
    <mergeCell ref="H145:I145"/>
    <mergeCell ref="J145:K145"/>
    <mergeCell ref="M144:N144"/>
    <mergeCell ref="R144:S144"/>
    <mergeCell ref="H146:I146"/>
    <mergeCell ref="J146:K146"/>
    <mergeCell ref="A144:E144"/>
    <mergeCell ref="F144:G144"/>
    <mergeCell ref="H144:I144"/>
    <mergeCell ref="J144:K144"/>
    <mergeCell ref="M141:N141"/>
    <mergeCell ref="R141:S141"/>
    <mergeCell ref="M142:N142"/>
    <mergeCell ref="R142:S142"/>
    <mergeCell ref="A142:E142"/>
    <mergeCell ref="F142:G142"/>
    <mergeCell ref="H142:I142"/>
    <mergeCell ref="J142:K142"/>
    <mergeCell ref="A141:E141"/>
    <mergeCell ref="F141:G141"/>
    <mergeCell ref="H141:I141"/>
    <mergeCell ref="J141:K141"/>
    <mergeCell ref="A139:E139"/>
    <mergeCell ref="F139:S139"/>
    <mergeCell ref="A140:E140"/>
    <mergeCell ref="F140:G140"/>
    <mergeCell ref="H140:I140"/>
    <mergeCell ref="J140:K140"/>
    <mergeCell ref="M140:N140"/>
    <mergeCell ref="R140:S140"/>
    <mergeCell ref="M136:N136"/>
    <mergeCell ref="R136:S136"/>
    <mergeCell ref="M137:N137"/>
    <mergeCell ref="R137:S137"/>
    <mergeCell ref="M138:N138"/>
    <mergeCell ref="R138:S138"/>
    <mergeCell ref="A137:E137"/>
    <mergeCell ref="F137:G137"/>
    <mergeCell ref="H137:I137"/>
    <mergeCell ref="J137:K137"/>
    <mergeCell ref="A138:E138"/>
    <mergeCell ref="F138:G138"/>
    <mergeCell ref="H138:I138"/>
    <mergeCell ref="J138:K138"/>
    <mergeCell ref="A136:E136"/>
    <mergeCell ref="F136:G136"/>
    <mergeCell ref="H136:I136"/>
    <mergeCell ref="J136:K136"/>
    <mergeCell ref="A134:E134"/>
    <mergeCell ref="F134:S134"/>
    <mergeCell ref="A135:E135"/>
    <mergeCell ref="F135:G135"/>
    <mergeCell ref="H135:I135"/>
    <mergeCell ref="J135:K135"/>
    <mergeCell ref="M135:N135"/>
    <mergeCell ref="R135:S135"/>
    <mergeCell ref="M131:N131"/>
    <mergeCell ref="R131:S131"/>
    <mergeCell ref="M132:N132"/>
    <mergeCell ref="R132:S132"/>
    <mergeCell ref="M133:N133"/>
    <mergeCell ref="R133:S133"/>
    <mergeCell ref="A132:E132"/>
    <mergeCell ref="F132:G132"/>
    <mergeCell ref="H132:I132"/>
    <mergeCell ref="J132:K132"/>
    <mergeCell ref="A133:E133"/>
    <mergeCell ref="F133:G133"/>
    <mergeCell ref="H133:I133"/>
    <mergeCell ref="J133:K133"/>
    <mergeCell ref="A131:E131"/>
    <mergeCell ref="F131:G131"/>
    <mergeCell ref="H131:I131"/>
    <mergeCell ref="J131:K131"/>
    <mergeCell ref="A129:E129"/>
    <mergeCell ref="F129:S129"/>
    <mergeCell ref="A130:E130"/>
    <mergeCell ref="F130:G130"/>
    <mergeCell ref="H130:I130"/>
    <mergeCell ref="J130:K130"/>
    <mergeCell ref="M130:N130"/>
    <mergeCell ref="R130:S130"/>
    <mergeCell ref="M126:N126"/>
    <mergeCell ref="R126:S126"/>
    <mergeCell ref="M127:N127"/>
    <mergeCell ref="R127:S127"/>
    <mergeCell ref="M128:N128"/>
    <mergeCell ref="R128:S128"/>
    <mergeCell ref="A127:E127"/>
    <mergeCell ref="F127:G127"/>
    <mergeCell ref="H127:I127"/>
    <mergeCell ref="J127:K127"/>
    <mergeCell ref="A128:E128"/>
    <mergeCell ref="F128:G128"/>
    <mergeCell ref="H128:I128"/>
    <mergeCell ref="J128:K128"/>
    <mergeCell ref="A126:E126"/>
    <mergeCell ref="F126:G126"/>
    <mergeCell ref="H126:I126"/>
    <mergeCell ref="J126:K126"/>
    <mergeCell ref="A124:E124"/>
    <mergeCell ref="F124:S124"/>
    <mergeCell ref="A125:E125"/>
    <mergeCell ref="F125:G125"/>
    <mergeCell ref="H125:I125"/>
    <mergeCell ref="J125:K125"/>
    <mergeCell ref="M125:N125"/>
    <mergeCell ref="R125:S125"/>
    <mergeCell ref="M122:N122"/>
    <mergeCell ref="R122:S122"/>
    <mergeCell ref="M123:N123"/>
    <mergeCell ref="R123:S123"/>
    <mergeCell ref="A123:E123"/>
    <mergeCell ref="F123:G123"/>
    <mergeCell ref="H123:I123"/>
    <mergeCell ref="J123:K123"/>
    <mergeCell ref="A122:E122"/>
    <mergeCell ref="F122:G122"/>
    <mergeCell ref="H122:I122"/>
    <mergeCell ref="J122:K122"/>
    <mergeCell ref="A120:E120"/>
    <mergeCell ref="F120:S120"/>
    <mergeCell ref="A121:E121"/>
    <mergeCell ref="F121:G121"/>
    <mergeCell ref="H121:I121"/>
    <mergeCell ref="J121:K121"/>
    <mergeCell ref="M121:N121"/>
    <mergeCell ref="R121:S121"/>
    <mergeCell ref="M117:N117"/>
    <mergeCell ref="R117:S117"/>
    <mergeCell ref="M118:N118"/>
    <mergeCell ref="R118:S118"/>
    <mergeCell ref="M119:N119"/>
    <mergeCell ref="R119:S119"/>
    <mergeCell ref="A118:E118"/>
    <mergeCell ref="F118:G118"/>
    <mergeCell ref="H118:I118"/>
    <mergeCell ref="J118:K118"/>
    <mergeCell ref="A119:E119"/>
    <mergeCell ref="F119:G119"/>
    <mergeCell ref="H119:I119"/>
    <mergeCell ref="J119:K119"/>
    <mergeCell ref="A117:E117"/>
    <mergeCell ref="F117:G117"/>
    <mergeCell ref="H117:I117"/>
    <mergeCell ref="J117:K117"/>
    <mergeCell ref="A115:E115"/>
    <mergeCell ref="F115:S115"/>
    <mergeCell ref="A116:E116"/>
    <mergeCell ref="F116:G116"/>
    <mergeCell ref="H116:I116"/>
    <mergeCell ref="J116:K116"/>
    <mergeCell ref="M116:N116"/>
    <mergeCell ref="R116:S116"/>
    <mergeCell ref="M112:N112"/>
    <mergeCell ref="R112:S112"/>
    <mergeCell ref="M113:N113"/>
    <mergeCell ref="R113:S113"/>
    <mergeCell ref="M114:N114"/>
    <mergeCell ref="R114:S114"/>
    <mergeCell ref="A113:E113"/>
    <mergeCell ref="F113:G113"/>
    <mergeCell ref="H113:I113"/>
    <mergeCell ref="J113:K113"/>
    <mergeCell ref="A114:E114"/>
    <mergeCell ref="F114:G114"/>
    <mergeCell ref="H114:I114"/>
    <mergeCell ref="J114:K114"/>
    <mergeCell ref="A112:E112"/>
    <mergeCell ref="F112:G112"/>
    <mergeCell ref="H112:I112"/>
    <mergeCell ref="J112:K112"/>
    <mergeCell ref="M108:N108"/>
    <mergeCell ref="R108:S108"/>
    <mergeCell ref="M109:N109"/>
    <mergeCell ref="R109:S109"/>
    <mergeCell ref="A109:E109"/>
    <mergeCell ref="F109:G109"/>
    <mergeCell ref="H109:I109"/>
    <mergeCell ref="J109:K109"/>
    <mergeCell ref="A108:E108"/>
    <mergeCell ref="F108:G108"/>
    <mergeCell ref="H108:I108"/>
    <mergeCell ref="J108:K108"/>
    <mergeCell ref="A106:E106"/>
    <mergeCell ref="F106:S106"/>
    <mergeCell ref="A107:E107"/>
    <mergeCell ref="F107:G107"/>
    <mergeCell ref="H107:I107"/>
    <mergeCell ref="J107:K107"/>
    <mergeCell ref="M107:N107"/>
    <mergeCell ref="R107:S107"/>
    <mergeCell ref="M101:N101"/>
    <mergeCell ref="R101:S101"/>
    <mergeCell ref="M102:N102"/>
    <mergeCell ref="R102:S102"/>
    <mergeCell ref="A102:E102"/>
    <mergeCell ref="F102:G102"/>
    <mergeCell ref="H102:I102"/>
    <mergeCell ref="J102:K102"/>
    <mergeCell ref="A101:E101"/>
    <mergeCell ref="F101:G101"/>
    <mergeCell ref="H101:I101"/>
    <mergeCell ref="J101:K101"/>
    <mergeCell ref="A99:E99"/>
    <mergeCell ref="F99:S99"/>
    <mergeCell ref="A100:E100"/>
    <mergeCell ref="F100:G100"/>
    <mergeCell ref="H100:I100"/>
    <mergeCell ref="J100:K100"/>
    <mergeCell ref="M100:N100"/>
    <mergeCell ref="R100:S100"/>
    <mergeCell ref="M98:N98"/>
    <mergeCell ref="R98:S98"/>
    <mergeCell ref="A98:E98"/>
    <mergeCell ref="F98:G98"/>
    <mergeCell ref="H98:I98"/>
    <mergeCell ref="J98:K98"/>
    <mergeCell ref="A96:E96"/>
    <mergeCell ref="F96:S96"/>
    <mergeCell ref="A97:E97"/>
    <mergeCell ref="F97:G97"/>
    <mergeCell ref="H97:I97"/>
    <mergeCell ref="J97:K97"/>
    <mergeCell ref="M97:N97"/>
    <mergeCell ref="R97:S97"/>
    <mergeCell ref="M94:N94"/>
    <mergeCell ref="R94:S94"/>
    <mergeCell ref="M95:N95"/>
    <mergeCell ref="R95:S95"/>
    <mergeCell ref="A95:E95"/>
    <mergeCell ref="F95:G95"/>
    <mergeCell ref="H95:I95"/>
    <mergeCell ref="J95:K95"/>
    <mergeCell ref="A94:E94"/>
    <mergeCell ref="F94:G94"/>
    <mergeCell ref="H94:I94"/>
    <mergeCell ref="J94:K94"/>
    <mergeCell ref="A92:E92"/>
    <mergeCell ref="F92:S92"/>
    <mergeCell ref="A93:E93"/>
    <mergeCell ref="F93:G93"/>
    <mergeCell ref="H93:I93"/>
    <mergeCell ref="J93:K93"/>
    <mergeCell ref="M93:N93"/>
    <mergeCell ref="R93:S93"/>
    <mergeCell ref="M91:N91"/>
    <mergeCell ref="R91:S91"/>
    <mergeCell ref="A91:E91"/>
    <mergeCell ref="F91:G91"/>
    <mergeCell ref="H91:I91"/>
    <mergeCell ref="J91:K91"/>
    <mergeCell ref="H90:I90"/>
    <mergeCell ref="J90:K90"/>
    <mergeCell ref="M90:N90"/>
    <mergeCell ref="R90:S90"/>
    <mergeCell ref="M87:N87"/>
    <mergeCell ref="R87:S87"/>
    <mergeCell ref="A87:E87"/>
    <mergeCell ref="F87:G87"/>
    <mergeCell ref="H87:I87"/>
    <mergeCell ref="J87:K87"/>
    <mergeCell ref="H88:I88"/>
    <mergeCell ref="J88:K88"/>
    <mergeCell ref="A7:E7"/>
    <mergeCell ref="A3:D3"/>
    <mergeCell ref="A86:E86"/>
    <mergeCell ref="F86:S86"/>
    <mergeCell ref="A60:E60"/>
    <mergeCell ref="F60:S60"/>
    <mergeCell ref="H62:I62"/>
    <mergeCell ref="J62:K62"/>
    <mergeCell ref="M83:N83"/>
    <mergeCell ref="R83:S83"/>
    <mergeCell ref="M84:N84"/>
    <mergeCell ref="R84:S84"/>
    <mergeCell ref="M85:N85"/>
    <mergeCell ref="R85:S85"/>
    <mergeCell ref="A84:E84"/>
    <mergeCell ref="F84:G84"/>
    <mergeCell ref="H84:I84"/>
    <mergeCell ref="J84:K84"/>
    <mergeCell ref="A85:E85"/>
    <mergeCell ref="F85:G85"/>
    <mergeCell ref="H85:I85"/>
    <mergeCell ref="J85:K85"/>
    <mergeCell ref="A83:E83"/>
    <mergeCell ref="F83:G83"/>
    <mergeCell ref="H83:I83"/>
    <mergeCell ref="J83:K83"/>
    <mergeCell ref="A82:E82"/>
    <mergeCell ref="F82:S82"/>
    <mergeCell ref="A81:E81"/>
    <mergeCell ref="F81:G81"/>
    <mergeCell ref="H81:I81"/>
    <mergeCell ref="J81:K81"/>
    <mergeCell ref="M81:N81"/>
    <mergeCell ref="R81:S81"/>
    <mergeCell ref="M79:N79"/>
    <mergeCell ref="R79:S79"/>
    <mergeCell ref="M80:N80"/>
    <mergeCell ref="R80:S80"/>
    <mergeCell ref="A80:E80"/>
    <mergeCell ref="F80:G80"/>
    <mergeCell ref="H80:I80"/>
    <mergeCell ref="J80:K80"/>
    <mergeCell ref="A79:E79"/>
    <mergeCell ref="F79:G79"/>
    <mergeCell ref="H79:I79"/>
    <mergeCell ref="J79:K79"/>
    <mergeCell ref="A78:E78"/>
    <mergeCell ref="F78:S78"/>
    <mergeCell ref="M76:N76"/>
    <mergeCell ref="R76:S76"/>
    <mergeCell ref="M77:N77"/>
    <mergeCell ref="R77:S77"/>
    <mergeCell ref="A77:E77"/>
    <mergeCell ref="F77:G77"/>
    <mergeCell ref="H77:I77"/>
    <mergeCell ref="J77:K77"/>
    <mergeCell ref="A76:E76"/>
    <mergeCell ref="F76:G76"/>
    <mergeCell ref="H76:I76"/>
    <mergeCell ref="J76:K76"/>
    <mergeCell ref="A75:E75"/>
    <mergeCell ref="F75:S75"/>
    <mergeCell ref="M73:N73"/>
    <mergeCell ref="R73:S73"/>
    <mergeCell ref="M74:N74"/>
    <mergeCell ref="R74:S74"/>
    <mergeCell ref="A74:E74"/>
    <mergeCell ref="F74:G74"/>
    <mergeCell ref="H74:I74"/>
    <mergeCell ref="J74:K74"/>
    <mergeCell ref="A73:E73"/>
    <mergeCell ref="F73:G73"/>
    <mergeCell ref="H73:I73"/>
    <mergeCell ref="J73:K73"/>
    <mergeCell ref="A72:E72"/>
    <mergeCell ref="F72:S72"/>
    <mergeCell ref="A68:E68"/>
    <mergeCell ref="F68:S68"/>
    <mergeCell ref="A70:E70"/>
    <mergeCell ref="F70:G70"/>
    <mergeCell ref="H70:I70"/>
    <mergeCell ref="J70:K70"/>
    <mergeCell ref="A71:E71"/>
    <mergeCell ref="F71:G71"/>
    <mergeCell ref="M65:N65"/>
    <mergeCell ref="R65:S65"/>
    <mergeCell ref="M66:N66"/>
    <mergeCell ref="R66:S66"/>
    <mergeCell ref="M67:N67"/>
    <mergeCell ref="R67:S67"/>
    <mergeCell ref="A66:E66"/>
    <mergeCell ref="F66:G66"/>
    <mergeCell ref="H66:I66"/>
    <mergeCell ref="J66:K66"/>
    <mergeCell ref="A67:E67"/>
    <mergeCell ref="F67:G67"/>
    <mergeCell ref="H67:I67"/>
    <mergeCell ref="J67:K67"/>
    <mergeCell ref="A65:E65"/>
    <mergeCell ref="F65:G65"/>
    <mergeCell ref="H65:I65"/>
    <mergeCell ref="J65:K65"/>
    <mergeCell ref="A64:E64"/>
    <mergeCell ref="F64:S64"/>
    <mergeCell ref="A61:E61"/>
    <mergeCell ref="F61:G61"/>
    <mergeCell ref="A62:E62"/>
    <mergeCell ref="F62:G62"/>
    <mergeCell ref="M62:N62"/>
    <mergeCell ref="R62:S62"/>
    <mergeCell ref="M57:N57"/>
    <mergeCell ref="R57:S57"/>
    <mergeCell ref="M58:N58"/>
    <mergeCell ref="R58:S58"/>
    <mergeCell ref="M59:N59"/>
    <mergeCell ref="R59:S59"/>
    <mergeCell ref="A58:E58"/>
    <mergeCell ref="F58:G58"/>
    <mergeCell ref="H58:I58"/>
    <mergeCell ref="J58:K58"/>
    <mergeCell ref="A59:E59"/>
    <mergeCell ref="F59:G59"/>
    <mergeCell ref="H59:I59"/>
    <mergeCell ref="J59:K59"/>
    <mergeCell ref="A57:E57"/>
    <mergeCell ref="F57:G57"/>
    <mergeCell ref="H57:I57"/>
    <mergeCell ref="J57:K57"/>
    <mergeCell ref="A56:E56"/>
    <mergeCell ref="F56:S56"/>
    <mergeCell ref="A55:E55"/>
    <mergeCell ref="F55:G55"/>
    <mergeCell ref="H55:I55"/>
    <mergeCell ref="J55:K55"/>
    <mergeCell ref="M55:N55"/>
    <mergeCell ref="R55:S55"/>
    <mergeCell ref="M53:N53"/>
    <mergeCell ref="R53:S53"/>
    <mergeCell ref="M54:N54"/>
    <mergeCell ref="R54:S54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S52"/>
    <mergeCell ref="A51:E51"/>
    <mergeCell ref="F51:G51"/>
    <mergeCell ref="H51:I51"/>
    <mergeCell ref="J51:K51"/>
    <mergeCell ref="A50:E50"/>
    <mergeCell ref="F50:G50"/>
    <mergeCell ref="H50:I50"/>
    <mergeCell ref="J50:K50"/>
    <mergeCell ref="H49:I49"/>
    <mergeCell ref="J49:K49"/>
    <mergeCell ref="M51:N51"/>
    <mergeCell ref="R51:S51"/>
    <mergeCell ref="M49:N49"/>
    <mergeCell ref="R49:S49"/>
    <mergeCell ref="M50:N50"/>
    <mergeCell ref="R50:S50"/>
    <mergeCell ref="A48:E48"/>
    <mergeCell ref="F48:S48"/>
    <mergeCell ref="A69:E69"/>
    <mergeCell ref="F69:G69"/>
    <mergeCell ref="H69:I69"/>
    <mergeCell ref="J69:K69"/>
    <mergeCell ref="M69:N69"/>
    <mergeCell ref="R69:S69"/>
    <mergeCell ref="A49:E49"/>
    <mergeCell ref="F49:G49"/>
    <mergeCell ref="H71:I71"/>
    <mergeCell ref="J71:K71"/>
    <mergeCell ref="M70:N70"/>
    <mergeCell ref="R70:S70"/>
    <mergeCell ref="M71:N71"/>
    <mergeCell ref="R71:S71"/>
    <mergeCell ref="M44:N44"/>
    <mergeCell ref="R44:S44"/>
    <mergeCell ref="M45:N45"/>
    <mergeCell ref="R45:S45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S43"/>
    <mergeCell ref="M41:N41"/>
    <mergeCell ref="R41:S41"/>
    <mergeCell ref="M42:N42"/>
    <mergeCell ref="R42:S42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S40"/>
    <mergeCell ref="M38:N38"/>
    <mergeCell ref="R38:S38"/>
    <mergeCell ref="M39:N39"/>
    <mergeCell ref="R39:S39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S37"/>
    <mergeCell ref="M35:N35"/>
    <mergeCell ref="R35:S35"/>
    <mergeCell ref="M36:N36"/>
    <mergeCell ref="R36:S36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S34"/>
    <mergeCell ref="R32:S32"/>
    <mergeCell ref="M33:N33"/>
    <mergeCell ref="R33:S33"/>
    <mergeCell ref="J32:K32"/>
    <mergeCell ref="J33:K33"/>
    <mergeCell ref="M32:N32"/>
    <mergeCell ref="A32:E32"/>
    <mergeCell ref="F32:G32"/>
    <mergeCell ref="H32:I32"/>
    <mergeCell ref="A33:E33"/>
    <mergeCell ref="F33:G33"/>
    <mergeCell ref="H33:I33"/>
    <mergeCell ref="A31:E31"/>
    <mergeCell ref="F31:S31"/>
    <mergeCell ref="M29:N29"/>
    <mergeCell ref="R29:S29"/>
    <mergeCell ref="M30:N30"/>
    <mergeCell ref="R30:S30"/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S28"/>
    <mergeCell ref="M27:N27"/>
    <mergeCell ref="R27:S27"/>
    <mergeCell ref="A27:E27"/>
    <mergeCell ref="F27:G27"/>
    <mergeCell ref="H27:I27"/>
    <mergeCell ref="J27:K27"/>
    <mergeCell ref="A26:E26"/>
    <mergeCell ref="F26:S26"/>
    <mergeCell ref="M24:N24"/>
    <mergeCell ref="R24:S24"/>
    <mergeCell ref="M25:N25"/>
    <mergeCell ref="R25:S25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S23"/>
    <mergeCell ref="M21:N21"/>
    <mergeCell ref="R21:S21"/>
    <mergeCell ref="M22:N22"/>
    <mergeCell ref="R22:S22"/>
    <mergeCell ref="A22:E22"/>
    <mergeCell ref="F22:G22"/>
    <mergeCell ref="H22:I22"/>
    <mergeCell ref="J22:K22"/>
    <mergeCell ref="A21:E21"/>
    <mergeCell ref="F21:G21"/>
    <mergeCell ref="H21:I21"/>
    <mergeCell ref="J21:K21"/>
    <mergeCell ref="A20:E20"/>
    <mergeCell ref="F20:S20"/>
    <mergeCell ref="M18:N18"/>
    <mergeCell ref="R18:S18"/>
    <mergeCell ref="M19:N19"/>
    <mergeCell ref="R19:S19"/>
    <mergeCell ref="A19:E19"/>
    <mergeCell ref="F19:G19"/>
    <mergeCell ref="H19:I19"/>
    <mergeCell ref="J19:K19"/>
    <mergeCell ref="A18:E18"/>
    <mergeCell ref="F18:G18"/>
    <mergeCell ref="H18:I18"/>
    <mergeCell ref="J18:K18"/>
    <mergeCell ref="A17:E17"/>
    <mergeCell ref="F17:S17"/>
    <mergeCell ref="M15:N15"/>
    <mergeCell ref="R15:S15"/>
    <mergeCell ref="M16:N16"/>
    <mergeCell ref="R16:S16"/>
    <mergeCell ref="A16:E16"/>
    <mergeCell ref="F16:G16"/>
    <mergeCell ref="H16:I16"/>
    <mergeCell ref="J16:K16"/>
    <mergeCell ref="A15:E15"/>
    <mergeCell ref="F15:G15"/>
    <mergeCell ref="H15:I15"/>
    <mergeCell ref="J15:K15"/>
    <mergeCell ref="A14:E14"/>
    <mergeCell ref="F14:S14"/>
    <mergeCell ref="A13:E13"/>
    <mergeCell ref="F13:G13"/>
    <mergeCell ref="H13:I13"/>
    <mergeCell ref="J13:K13"/>
    <mergeCell ref="M13:N13"/>
    <mergeCell ref="R13:S13"/>
    <mergeCell ref="M11:N11"/>
    <mergeCell ref="R11:S11"/>
    <mergeCell ref="M12:N12"/>
    <mergeCell ref="R12:S12"/>
    <mergeCell ref="A12:E12"/>
    <mergeCell ref="F12:G12"/>
    <mergeCell ref="H12:I12"/>
    <mergeCell ref="J12:K12"/>
    <mergeCell ref="A10:E10"/>
    <mergeCell ref="F10:S10"/>
    <mergeCell ref="H61:I61"/>
    <mergeCell ref="J61:K61"/>
    <mergeCell ref="M61:N61"/>
    <mergeCell ref="R61:S61"/>
    <mergeCell ref="A11:E11"/>
    <mergeCell ref="F11:G11"/>
    <mergeCell ref="H11:I11"/>
    <mergeCell ref="J11:K11"/>
    <mergeCell ref="F7:S7"/>
    <mergeCell ref="R6:S6"/>
    <mergeCell ref="J8:K8"/>
    <mergeCell ref="R8:S8"/>
    <mergeCell ref="H8:I8"/>
    <mergeCell ref="R9:S9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A1:S1"/>
    <mergeCell ref="A2:S2"/>
    <mergeCell ref="R3:S3"/>
    <mergeCell ref="P3:Q3"/>
    <mergeCell ref="E3:O3"/>
    <mergeCell ref="A9:E9"/>
    <mergeCell ref="M9:N9"/>
    <mergeCell ref="F9:G9"/>
    <mergeCell ref="H9:I9"/>
    <mergeCell ref="J9:K9"/>
    <mergeCell ref="M104:N104"/>
    <mergeCell ref="R104:S104"/>
    <mergeCell ref="M105:N105"/>
    <mergeCell ref="R105:S105"/>
    <mergeCell ref="A105:E105"/>
    <mergeCell ref="F105:G105"/>
    <mergeCell ref="H105:I105"/>
    <mergeCell ref="J105:K105"/>
    <mergeCell ref="A104:E104"/>
    <mergeCell ref="F104:G104"/>
    <mergeCell ref="H104:I104"/>
    <mergeCell ref="J104:K104"/>
    <mergeCell ref="M88:N88"/>
    <mergeCell ref="R88:S88"/>
    <mergeCell ref="A103:E103"/>
    <mergeCell ref="F103:S103"/>
    <mergeCell ref="A89:E89"/>
    <mergeCell ref="F89:S89"/>
    <mergeCell ref="A90:E90"/>
    <mergeCell ref="F90:G90"/>
    <mergeCell ref="A88:E88"/>
    <mergeCell ref="F88:G88"/>
    <mergeCell ref="A46:E46"/>
    <mergeCell ref="F46:S46"/>
    <mergeCell ref="A47:E47"/>
    <mergeCell ref="F47:G47"/>
    <mergeCell ref="H47:I47"/>
    <mergeCell ref="J47:K47"/>
    <mergeCell ref="M47:N47"/>
    <mergeCell ref="R47:S47"/>
    <mergeCell ref="A110:E110"/>
    <mergeCell ref="F110:S110"/>
    <mergeCell ref="A143:E143"/>
    <mergeCell ref="F143:S143"/>
    <mergeCell ref="A111:E111"/>
    <mergeCell ref="F111:G111"/>
    <mergeCell ref="H111:I111"/>
    <mergeCell ref="J111:K111"/>
    <mergeCell ref="M111:N111"/>
    <mergeCell ref="R111:S111"/>
  </mergeCells>
  <conditionalFormatting sqref="J8:K9 J11:K13 J15:K16 J18:K19 J21:K22 J24:K25 J27:K27 J29:K30 J32:K33 J35:K36 J38:K39 J41:K42 J104:K105 J49:K51 J53:K55 J57:K59 J61:K63 J65:K67 J69:K71 J73:K74 J76:K77 J79:K81 J83:K85 J87:K88 J90:K91 J93:K95 J97:K98 J100:K102 J47:K47 J111:K114 J116:K119 J121:K123 J125:K128 J130:K133 J135:K138 J107:K109 J144:K146 J148:K150 J44:K45 J140:K142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71" max="255" man="1"/>
    <brk id="105" max="255" man="1"/>
    <brk id="1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1"/>
    </row>
    <row r="2" spans="1:17" ht="13.5" thickBo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</row>
    <row r="3" spans="1:17" ht="13.5" thickBot="1">
      <c r="A3" s="393" t="s">
        <v>165</v>
      </c>
      <c r="B3" s="394"/>
      <c r="C3" s="394"/>
      <c r="D3" s="394"/>
      <c r="E3" s="394"/>
      <c r="F3" s="395"/>
      <c r="G3" s="398"/>
      <c r="H3" s="399"/>
      <c r="I3" s="399"/>
      <c r="J3" s="399"/>
      <c r="K3" s="399"/>
      <c r="L3" s="399"/>
      <c r="M3" s="400"/>
      <c r="N3" s="396" t="s">
        <v>79</v>
      </c>
      <c r="O3" s="397"/>
      <c r="P3" s="394" t="str">
        <f>'[1]p1'!$H$4</f>
        <v>2008.1</v>
      </c>
      <c r="Q3" s="395"/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s="8" customFormat="1" ht="12.75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87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</row>
    <row r="8" spans="1:19" s="34" customFormat="1" ht="11.25">
      <c r="A8" s="403" t="str">
        <f>T('[1]p1'!$C$13:$G$13)</f>
        <v>Alciônio Saldanha de Oliveira</v>
      </c>
      <c r="B8" s="404"/>
      <c r="C8" s="404"/>
      <c r="D8" s="404"/>
      <c r="E8" s="414"/>
      <c r="F8" s="484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31"/>
      <c r="S8" s="31"/>
    </row>
    <row r="9" spans="1:17" s="2" customFormat="1" ht="11.25">
      <c r="A9" s="24">
        <f>IF('[1]p1'!$A$406&lt;&gt;0,'[1]p1'!$A$406,"")</f>
      </c>
      <c r="B9" s="24">
        <f>IF('[1]p1'!$B$406&lt;&gt;0,'[1]p1'!$B$406,"")</f>
      </c>
      <c r="C9" s="24">
        <f>IF('[1]p1'!$C$406&lt;&gt;0,'[1]p1'!$C$406,"")</f>
      </c>
      <c r="D9" s="24">
        <f>IF('[1]p1'!$D$406&lt;&gt;0,'[1]p1'!$D$406,"")</f>
        <v>165</v>
      </c>
      <c r="E9" s="24">
        <f>IF('[1]p1'!$E$406&lt;&gt;0,'[1]p1'!$E$406,"")</f>
      </c>
      <c r="F9" s="24">
        <f>IF('[1]p1'!$F$406&lt;&gt;0,'[1]p1'!$F$406,"")</f>
        <v>330</v>
      </c>
      <c r="G9" s="24">
        <f>IF('[1]p1'!$G$406&lt;&gt;0,'[1]p1'!$G$406,"")</f>
        <v>20</v>
      </c>
      <c r="H9" s="24">
        <f>IF('[1]p1'!$H$406&lt;&gt;0,'[1]p1'!$H$406,"")</f>
      </c>
      <c r="I9" s="24">
        <f>IF('[1]p1'!$I$406&lt;&gt;0,'[1]p1'!$I$406,"")</f>
      </c>
      <c r="J9" s="24">
        <f>IF('[1]p1'!$J$406&lt;&gt;0,'[1]p1'!$J$406,"")</f>
      </c>
      <c r="K9" s="24">
        <f>IF('[1]p1'!$K$406&lt;&gt;0,'[1]p1'!$K$406,"")</f>
      </c>
      <c r="L9" s="24">
        <f>IF('[1]p1'!$L$406&lt;&gt;0,'[1]p1'!$L$406,"")</f>
      </c>
      <c r="M9" s="24" t="str">
        <f>IF('[1]p1'!$A$409&lt;&gt;0,'[1]p1'!$A$409," ")</f>
        <v> </v>
      </c>
      <c r="N9" s="24">
        <f>IF('[1]p1'!$B$409&lt;&gt;0,'[1]p1'!$B$409," ")</f>
        <v>115</v>
      </c>
      <c r="O9" s="24">
        <f>IF('[1]p1'!$C$409&lt;&gt;0,'[1]p1'!$C$409," ")</f>
        <v>10</v>
      </c>
      <c r="P9" s="24">
        <f>IF('[1]p1'!$D$409&lt;&gt;0,'[1]p1'!$D$409," ")</f>
        <v>60</v>
      </c>
      <c r="Q9" s="24">
        <f>IF('[1]p1'!$E$409&lt;&gt;0,'[1]p1'!$E$409," ")</f>
        <v>700</v>
      </c>
    </row>
    <row r="10" spans="1:17" s="2" customFormat="1" ht="11.25">
      <c r="A10" s="482"/>
      <c r="B10" s="482"/>
      <c r="C10" s="482"/>
      <c r="D10" s="482"/>
      <c r="E10" s="482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</row>
    <row r="11" spans="1:17" s="34" customFormat="1" ht="11.25">
      <c r="A11" s="423" t="str">
        <f>T('[1]p2'!$C$13:$G$13)</f>
        <v>Alexsandro Bezerra Cavalcanti</v>
      </c>
      <c r="B11" s="423"/>
      <c r="C11" s="423"/>
      <c r="D11" s="423"/>
      <c r="E11" s="423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</row>
    <row r="12" spans="1:17" s="2" customFormat="1" ht="11.25">
      <c r="A12" s="24">
        <f>IF('[1]p2'!$A$406&lt;&gt;0,'[1]p2'!$A$406,"")</f>
        <v>840</v>
      </c>
      <c r="B12" s="24">
        <f>IF('[1]p2'!$B$406&lt;&gt;0,'[1]p2'!$B$406,"")</f>
      </c>
      <c r="C12" s="24">
        <f>IF('[1]p2'!$C$406&lt;&gt;0,'[1]p2'!$C$406,"")</f>
      </c>
      <c r="D12" s="24">
        <f>IF('[1]p2'!$D$406&lt;&gt;0,'[1]p2'!$D$406,"")</f>
      </c>
      <c r="E12" s="24">
        <f>IF('[1]p2'!$E$406&lt;&gt;0,'[1]p2'!$E$406,"")</f>
      </c>
      <c r="F12" s="24">
        <f>IF('[1]p2'!$F$406&lt;&gt;0,'[1]p2'!$F$406,"")</f>
      </c>
      <c r="G12" s="24">
        <f>IF('[1]p2'!$G$406&lt;&gt;0,'[1]p2'!$G$406,"")</f>
      </c>
      <c r="H12" s="24">
        <f>IF('[1]p2'!$H$406&lt;&gt;0,'[1]p2'!$H$406,"")</f>
      </c>
      <c r="I12" s="24">
        <f>IF('[1]p2'!$I$406&lt;&gt;0,'[1]p2'!$I$406,"")</f>
      </c>
      <c r="J12" s="24">
        <f>IF('[1]p2'!$J$406&lt;&gt;0,'[1]p2'!$J$406,"")</f>
      </c>
      <c r="K12" s="24">
        <f>IF('[1]p2'!$K$406&lt;&gt;0,'[1]p2'!$K$406,"")</f>
      </c>
      <c r="L12" s="24">
        <f>IF('[1]p2'!$L$406&lt;&gt;0,'[1]p2'!$L$406,"")</f>
      </c>
      <c r="M12" s="24" t="str">
        <f>IF('[1]p2'!$A$409&lt;&gt;0,'[1]p2'!$A$409," ")</f>
        <v> </v>
      </c>
      <c r="N12" s="24" t="str">
        <f>IF('[1]p2'!$B$409&lt;&gt;0,'[1]p2'!$B$409," ")</f>
        <v> </v>
      </c>
      <c r="O12" s="24" t="str">
        <f>IF('[1]p2'!$C$409&lt;&gt;0,'[1]p2'!$C$409," ")</f>
        <v> </v>
      </c>
      <c r="P12" s="24" t="str">
        <f>IF('[1]p2'!$D$409&lt;&gt;0,'[1]p2'!$D$409," ")</f>
        <v> </v>
      </c>
      <c r="Q12" s="24">
        <f>IF('[1]p2'!$E$409&lt;&gt;0,'[1]p2'!$E$409," ")</f>
        <v>840</v>
      </c>
    </row>
    <row r="13" spans="1:17" s="2" customFormat="1" ht="11.25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</row>
    <row r="14" spans="1:17" s="34" customFormat="1" ht="11.25">
      <c r="A14" s="423" t="str">
        <f>T('[1]p3'!$C$13:$G$13)</f>
        <v>Amanda dos Santos Gomes</v>
      </c>
      <c r="B14" s="423"/>
      <c r="C14" s="423"/>
      <c r="D14" s="423"/>
      <c r="E14" s="423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</row>
    <row r="15" spans="1:17" s="2" customFormat="1" ht="11.25">
      <c r="A15" s="24">
        <f>IF('[1]p3'!$A$406&lt;&gt;0,'[1]p3'!$A$406,"")</f>
        <v>840</v>
      </c>
      <c r="B15" s="24">
        <f>IF('[1]p3'!$B$406&lt;&gt;0,'[1]p3'!$B$406,"")</f>
      </c>
      <c r="C15" s="24">
        <f>IF('[1]p3'!$C$406&lt;&gt;0,'[1]p3'!$C$406,"")</f>
      </c>
      <c r="D15" s="24">
        <f>IF('[1]p3'!$D$406&lt;&gt;0,'[1]p3'!$D$406,"")</f>
      </c>
      <c r="E15" s="24">
        <f>IF('[1]p3'!$E$406&lt;&gt;0,'[1]p3'!$E$406,"")</f>
      </c>
      <c r="F15" s="24">
        <f>IF('[1]p3'!$F$406&lt;&gt;0,'[1]p3'!$F$406,"")</f>
      </c>
      <c r="G15" s="24">
        <f>IF('[1]p3'!$G$406&lt;&gt;0,'[1]p3'!$G$406,"")</f>
      </c>
      <c r="H15" s="24">
        <f>IF('[1]p3'!$H$406&lt;&gt;0,'[1]p3'!$H$406,"")</f>
      </c>
      <c r="I15" s="24">
        <f>IF('[1]p3'!$I$406&lt;&gt;0,'[1]p3'!$I$406,"")</f>
      </c>
      <c r="J15" s="24">
        <f>IF('[1]p3'!$J$406&lt;&gt;0,'[1]p3'!$J$406,"")</f>
      </c>
      <c r="K15" s="24">
        <f>IF('[1]p3'!$K$406&lt;&gt;0,'[1]p3'!$K$406,"")</f>
      </c>
      <c r="L15" s="24">
        <f>IF('[1]p3'!$L$406&lt;&gt;0,'[1]p3'!$L$406,"")</f>
      </c>
      <c r="M15" s="24" t="str">
        <f>IF('[1]p3'!$A$409&lt;&gt;0,'[1]p3'!$A$409," ")</f>
        <v> </v>
      </c>
      <c r="N15" s="24" t="str">
        <f>IF('[1]p3'!$B$409&lt;&gt;0,'[1]p3'!$B$409," ")</f>
        <v> </v>
      </c>
      <c r="O15" s="24" t="str">
        <f>IF('[1]p3'!$C$409&lt;&gt;0,'[1]p3'!$C$409," ")</f>
        <v> </v>
      </c>
      <c r="P15" s="24" t="str">
        <f>IF('[1]p3'!$D$409&lt;&gt;0,'[1]p3'!$D$409," ")</f>
        <v> </v>
      </c>
      <c r="Q15" s="24">
        <f>IF('[1]p3'!$E$409&lt;&gt;0,'[1]p3'!$E$409," ")</f>
        <v>840</v>
      </c>
    </row>
    <row r="16" spans="1:17" s="2" customFormat="1" ht="11.25">
      <c r="A16" s="482"/>
      <c r="B16" s="482"/>
      <c r="C16" s="482"/>
      <c r="D16" s="482"/>
      <c r="E16" s="482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</row>
    <row r="17" spans="1:17" s="34" customFormat="1" ht="11.25">
      <c r="A17" s="423" t="str">
        <f>T('[1]p4'!$C$13:$G$13)</f>
        <v>Amauri Araújo Cruz</v>
      </c>
      <c r="B17" s="423"/>
      <c r="C17" s="423"/>
      <c r="D17" s="423"/>
      <c r="E17" s="423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</row>
    <row r="18" spans="1:17" s="2" customFormat="1" ht="11.25">
      <c r="A18" s="24">
        <f>IF('[1]p4'!$A$406&lt;&gt;0,'[1]p4'!$A$406,"")</f>
      </c>
      <c r="B18" s="24">
        <f>IF('[1]p4'!$B$406&lt;&gt;0,'[1]p4'!$B$406,"")</f>
      </c>
      <c r="C18" s="24">
        <f>IF('[1]p4'!$C$406&lt;&gt;0,'[1]p4'!$C$406,"")</f>
      </c>
      <c r="D18" s="24">
        <f>IF('[1]p4'!$D$406&lt;&gt;0,'[1]p4'!$D$406,"")</f>
        <v>210</v>
      </c>
      <c r="E18" s="24">
        <f>IF('[1]p4'!$E$406&lt;&gt;0,'[1]p4'!$E$406,"")</f>
      </c>
      <c r="F18" s="24">
        <f>IF('[1]p4'!$F$406&lt;&gt;0,'[1]p4'!$F$406,"")</f>
        <v>420</v>
      </c>
      <c r="G18" s="24">
        <f>IF('[1]p4'!$G$406&lt;&gt;0,'[1]p4'!$G$406,"")</f>
        <v>40</v>
      </c>
      <c r="H18" s="24">
        <f>IF('[1]p4'!$H$406&lt;&gt;0,'[1]p4'!$H$406,"")</f>
      </c>
      <c r="I18" s="24">
        <f>IF('[1]p4'!$I$406&lt;&gt;0,'[1]p4'!$I$406,"")</f>
      </c>
      <c r="J18" s="24">
        <f>IF('[1]p4'!$J$406&lt;&gt;0,'[1]p4'!$J$406,"")</f>
      </c>
      <c r="K18" s="24">
        <f>IF('[1]p4'!$K$406&lt;&gt;0,'[1]p4'!$K$406,"")</f>
        <v>40</v>
      </c>
      <c r="L18" s="24">
        <f>IF('[1]p4'!$L$406&lt;&gt;0,'[1]p4'!$L$406,"")</f>
        <v>10</v>
      </c>
      <c r="M18" s="24" t="str">
        <f>IF('[1]p4'!$A$409&lt;&gt;0,'[1]p4'!$A$409," ")</f>
        <v> </v>
      </c>
      <c r="N18" s="24" t="str">
        <f>IF('[1]p4'!$B$409&lt;&gt;0,'[1]p4'!$B$409," ")</f>
        <v> </v>
      </c>
      <c r="O18" s="24">
        <f>IF('[1]p4'!$C$409&lt;&gt;0,'[1]p4'!$C$409," ")</f>
        <v>10</v>
      </c>
      <c r="P18" s="24">
        <f>IF('[1]p4'!$D$409&lt;&gt;0,'[1]p4'!$D$409," ")</f>
        <v>10</v>
      </c>
      <c r="Q18" s="24">
        <f>IF('[1]p4'!$E$409&lt;&gt;0,'[1]p4'!$E$409," ")</f>
        <v>740</v>
      </c>
    </row>
    <row r="19" spans="1:17" s="2" customFormat="1" ht="11.25">
      <c r="A19" s="482"/>
      <c r="B19" s="482"/>
      <c r="C19" s="482"/>
      <c r="D19" s="482"/>
      <c r="E19" s="482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</row>
    <row r="20" spans="1:17" s="34" customFormat="1" ht="11.25">
      <c r="A20" s="423" t="str">
        <f>T('[1]p5'!$C$13:$G$13)</f>
        <v>Ângelo Roncalli  Furtado de Holanda</v>
      </c>
      <c r="B20" s="423"/>
      <c r="C20" s="423"/>
      <c r="D20" s="423"/>
      <c r="E20" s="423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</row>
    <row r="21" spans="1:17" s="2" customFormat="1" ht="11.25">
      <c r="A21" s="24">
        <f>IF('[1]p5'!$A$406&lt;&gt;0,'[1]p5'!$A$406,"")</f>
      </c>
      <c r="B21" s="24">
        <f>IF('[1]p5'!$B$406&lt;&gt;0,'[1]p5'!$B$406,"")</f>
      </c>
      <c r="C21" s="24">
        <f>IF('[1]p5'!$C$406&lt;&gt;0,'[1]p5'!$C$406,"")</f>
      </c>
      <c r="D21" s="24">
        <f>IF('[1]p5'!$D$406&lt;&gt;0,'[1]p5'!$D$406,"")</f>
      </c>
      <c r="E21" s="24">
        <f>IF('[1]p5'!$E$406&lt;&gt;0,'[1]p5'!$E$406,"")</f>
      </c>
      <c r="F21" s="24">
        <f>IF('[1]p5'!$F$406&lt;&gt;0,'[1]p5'!$F$406,"")</f>
      </c>
      <c r="G21" s="24">
        <f>IF('[1]p5'!$G$406&lt;&gt;0,'[1]p5'!$G$406,"")</f>
      </c>
      <c r="H21" s="24">
        <f>IF('[1]p5'!$H$406&lt;&gt;0,'[1]p5'!$H$406,"")</f>
      </c>
      <c r="I21" s="24">
        <f>IF('[1]p5'!$I$406&lt;&gt;0,'[1]p5'!$I$406,"")</f>
      </c>
      <c r="J21" s="24">
        <f>IF('[1]p5'!$J$406&lt;&gt;0,'[1]p5'!$J$406,"")</f>
      </c>
      <c r="K21" s="24">
        <f>IF('[1]p5'!$K$406&lt;&gt;0,'[1]p5'!$K$406,"")</f>
      </c>
      <c r="L21" s="24">
        <f>IF('[1]p5'!$L$406&lt;&gt;0,'[1]p5'!$L$406,"")</f>
      </c>
      <c r="M21" s="24" t="str">
        <f>IF('[1]p5'!$A$409&lt;&gt;0,'[1]p5'!$A$409," ")</f>
        <v> </v>
      </c>
      <c r="N21" s="24" t="str">
        <f>IF('[1]p5'!$B$409&lt;&gt;0,'[1]p5'!$B$409," ")</f>
        <v> </v>
      </c>
      <c r="O21" s="24" t="str">
        <f>IF('[1]p5'!$C$409&lt;&gt;0,'[1]p5'!$C$409," ")</f>
        <v> </v>
      </c>
      <c r="P21" s="24" t="str">
        <f>IF('[1]p5'!$D$409&lt;&gt;0,'[1]p5'!$D$409," ")</f>
        <v> </v>
      </c>
      <c r="Q21" s="24" t="str">
        <f>IF('[1]p5'!$E$409&lt;&gt;0,'[1]p5'!$E$409," ")</f>
        <v> </v>
      </c>
    </row>
    <row r="22" spans="1:17" s="2" customFormat="1" ht="11.2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</row>
    <row r="23" spans="1:17" s="34" customFormat="1" ht="11.25">
      <c r="A23" s="403" t="str">
        <f>T('[1]p6'!$C$13:$G$13)</f>
        <v>Antônio José da Silva</v>
      </c>
      <c r="B23" s="404"/>
      <c r="C23" s="404"/>
      <c r="D23" s="404"/>
      <c r="E23" s="414"/>
      <c r="F23" s="484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</row>
    <row r="24" spans="1:17" s="2" customFormat="1" ht="11.25">
      <c r="A24" s="24">
        <f>IF('[1]p6'!$A$406&lt;&gt;0,'[1]p6'!$A$406,"")</f>
      </c>
      <c r="B24" s="24">
        <f>IF('[1]p6'!$B$406&lt;&gt;0,'[1]p6'!$B$406,"")</f>
      </c>
      <c r="C24" s="24">
        <f>IF('[1]p6'!$C$406&lt;&gt;0,'[1]p6'!$C$406,"")</f>
      </c>
      <c r="D24" s="24">
        <f>IF('[1]p6'!$D$406&lt;&gt;0,'[1]p6'!$D$406,"")</f>
        <v>120</v>
      </c>
      <c r="E24" s="24">
        <f>IF('[1]p6'!$E$406&lt;&gt;0,'[1]p6'!$E$406,"")</f>
      </c>
      <c r="F24" s="24">
        <f>IF('[1]p6'!$F$406&lt;&gt;0,'[1]p6'!$F$406,"")</f>
        <v>120</v>
      </c>
      <c r="G24" s="24">
        <f>IF('[1]p6'!$G$406&lt;&gt;0,'[1]p6'!$G$406,"")</f>
        <v>20</v>
      </c>
      <c r="H24" s="24">
        <f>IF('[1]p6'!$H$406&lt;&gt;0,'[1]p6'!$H$406,"")</f>
      </c>
      <c r="I24" s="24">
        <f>IF('[1]p6'!$I$406&lt;&gt;0,'[1]p6'!$I$406,"")</f>
      </c>
      <c r="J24" s="24">
        <f>IF('[1]p6'!$J$406&lt;&gt;0,'[1]p6'!$J$406,"")</f>
      </c>
      <c r="K24" s="24">
        <f>IF('[1]p6'!$K$406&lt;&gt;0,'[1]p6'!$K$406,"")</f>
        <v>24</v>
      </c>
      <c r="L24" s="24">
        <f>IF('[1]p6'!$L$406&lt;&gt;0,'[1]p6'!$L$406,"")</f>
        <v>55</v>
      </c>
      <c r="M24" s="24">
        <f>IF('[1]p6'!$A$409&lt;&gt;0,'[1]p6'!$A$409," ")</f>
        <v>480</v>
      </c>
      <c r="N24" s="24" t="str">
        <f>IF('[1]p6'!$B$409&lt;&gt;0,'[1]p6'!$B$409," ")</f>
        <v> </v>
      </c>
      <c r="O24" s="24" t="str">
        <f>IF('[1]p6'!$C$409&lt;&gt;0,'[1]p6'!$C$409," ")</f>
        <v> </v>
      </c>
      <c r="P24" s="24">
        <f>IF('[1]p6'!$D$409&lt;&gt;0,'[1]p6'!$D$409," ")</f>
        <v>20</v>
      </c>
      <c r="Q24" s="24">
        <f>IF('[1]p6'!$E$409&lt;&gt;0,'[1]p6'!$E$409," ")</f>
        <v>839</v>
      </c>
    </row>
    <row r="25" spans="1:17" s="2" customFormat="1" ht="11.25">
      <c r="A25" s="479"/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</row>
    <row r="26" spans="1:17" s="34" customFormat="1" ht="11.25">
      <c r="A26" s="403" t="str">
        <f>T('[1]p7'!$C$13:$G$13)</f>
        <v>Antônio Pereira Brandão Júnior</v>
      </c>
      <c r="B26" s="404"/>
      <c r="C26" s="404"/>
      <c r="D26" s="404"/>
      <c r="E26" s="414"/>
      <c r="F26" s="484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</row>
    <row r="27" spans="1:17" s="2" customFormat="1" ht="11.25">
      <c r="A27" s="24">
        <f>IF('[1]p7'!$A$406&lt;&gt;0,'[1]p7'!$A$406,"")</f>
      </c>
      <c r="B27" s="24">
        <f>IF('[1]p7'!$B$406&lt;&gt;0,'[1]p7'!$B$406,"")</f>
      </c>
      <c r="C27" s="24">
        <f>IF('[1]p7'!$C$406&lt;&gt;0,'[1]p7'!$C$406,"")</f>
        <v>250</v>
      </c>
      <c r="D27" s="24">
        <f>IF('[1]p7'!$D$406&lt;&gt;0,'[1]p7'!$D$406,"")</f>
        <v>120</v>
      </c>
      <c r="E27" s="24">
        <f>IF('[1]p7'!$E$406&lt;&gt;0,'[1]p7'!$E$406,"")</f>
      </c>
      <c r="F27" s="24">
        <f>IF('[1]p7'!$F$406&lt;&gt;0,'[1]p7'!$F$406,"")</f>
        <v>240</v>
      </c>
      <c r="G27" s="24">
        <f>IF('[1]p7'!$G$406&lt;&gt;0,'[1]p7'!$G$406,"")</f>
      </c>
      <c r="H27" s="24">
        <f>IF('[1]p7'!$H$406&lt;&gt;0,'[1]p7'!$H$406,"")</f>
        <v>90</v>
      </c>
      <c r="I27" s="24">
        <f>IF('[1]p7'!$I$406&lt;&gt;0,'[1]p7'!$I$406,"")</f>
        <v>15</v>
      </c>
      <c r="J27" s="24">
        <f>IF('[1]p7'!$J$406&lt;&gt;0,'[1]p7'!$J$406,"")</f>
      </c>
      <c r="K27" s="24">
        <f>IF('[1]p7'!$K$406&lt;&gt;0,'[1]p7'!$K$406,"")</f>
      </c>
      <c r="L27" s="24">
        <f>IF('[1]p7'!$L$406&lt;&gt;0,'[1]p7'!$L$406,"")</f>
        <v>10</v>
      </c>
      <c r="M27" s="24" t="str">
        <f>IF('[1]p7'!$A$409&lt;&gt;0,'[1]p7'!$A$409," ")</f>
        <v> </v>
      </c>
      <c r="N27" s="24">
        <f>IF('[1]p7'!$B$409&lt;&gt;0,'[1]p7'!$B$409," ")</f>
        <v>30</v>
      </c>
      <c r="O27" s="24">
        <f>IF('[1]p7'!$C$409&lt;&gt;0,'[1]p7'!$C$409," ")</f>
        <v>8</v>
      </c>
      <c r="P27" s="24">
        <f>IF('[1]p7'!$D$409&lt;&gt;0,'[1]p7'!$D$409," ")</f>
        <v>37</v>
      </c>
      <c r="Q27" s="24">
        <f>IF('[1]p7'!$E$409&lt;&gt;0,'[1]p7'!$E$409," ")</f>
        <v>800</v>
      </c>
    </row>
    <row r="28" spans="1:17" s="2" customFormat="1" ht="11.25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</row>
    <row r="29" spans="1:17" s="34" customFormat="1" ht="11.25">
      <c r="A29" s="403" t="str">
        <f>T('[1]p8'!$C$13:$G$13)</f>
        <v>Aparecido Jesuino de Souza</v>
      </c>
      <c r="B29" s="404"/>
      <c r="C29" s="404"/>
      <c r="D29" s="404"/>
      <c r="E29" s="414"/>
      <c r="F29" s="484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</row>
    <row r="30" spans="1:17" s="2" customFormat="1" ht="11.25">
      <c r="A30" s="24">
        <f>IF('[1]p8'!$A$406&lt;&gt;0,'[1]p8'!$A$406,"")</f>
      </c>
      <c r="B30" s="24">
        <f>IF('[1]p8'!$B$406&lt;&gt;0,'[1]p8'!$B$406,"")</f>
      </c>
      <c r="C30" s="24">
        <f>IF('[1]p8'!$C$406&lt;&gt;0,'[1]p8'!$C$406,"")</f>
      </c>
      <c r="D30" s="24">
        <f>IF('[1]p8'!$D$406&lt;&gt;0,'[1]p8'!$D$406,"")</f>
        <v>120</v>
      </c>
      <c r="E30" s="24">
        <f>IF('[1]p8'!$E$406&lt;&gt;0,'[1]p8'!$E$406,"")</f>
        <v>60</v>
      </c>
      <c r="F30" s="24">
        <f>IF('[1]p8'!$F$406&lt;&gt;0,'[1]p8'!$F$406,"")</f>
        <v>150</v>
      </c>
      <c r="G30" s="24">
        <f>IF('[1]p8'!$G$406&lt;&gt;0,'[1]p8'!$G$406,"")</f>
        <v>80</v>
      </c>
      <c r="H30" s="24">
        <f>IF('[1]p8'!$H$406&lt;&gt;0,'[1]p8'!$H$406,"")</f>
        <v>56</v>
      </c>
      <c r="I30" s="24">
        <f>IF('[1]p8'!$I$406&lt;&gt;0,'[1]p8'!$I$406,"")</f>
        <v>150</v>
      </c>
      <c r="J30" s="24">
        <f>IF('[1]p8'!$J$406&lt;&gt;0,'[1]p8'!$J$406,"")</f>
      </c>
      <c r="K30" s="24">
        <f>IF('[1]p8'!$K$406&lt;&gt;0,'[1]p8'!$K$406,"")</f>
      </c>
      <c r="L30" s="24">
        <f>IF('[1]p8'!$L$406&lt;&gt;0,'[1]p8'!$L$406,"")</f>
      </c>
      <c r="M30" s="24" t="str">
        <f>IF('[1]p8'!$A$409&lt;&gt;0,'[1]p8'!$A$409," ")</f>
        <v> </v>
      </c>
      <c r="N30" s="24">
        <f>IF('[1]p8'!$B$409&lt;&gt;0,'[1]p8'!$B$409," ")</f>
        <v>92</v>
      </c>
      <c r="O30" s="24">
        <f>IF('[1]p8'!$C$409&lt;&gt;0,'[1]p8'!$C$409," ")</f>
        <v>6</v>
      </c>
      <c r="P30" s="24">
        <f>IF('[1]p8'!$D$409&lt;&gt;0,'[1]p8'!$D$409," ")</f>
        <v>120</v>
      </c>
      <c r="Q30" s="24">
        <f>IF('[1]p8'!$E$409&lt;&gt;0,'[1]p8'!$E$409," ")</f>
        <v>834</v>
      </c>
    </row>
    <row r="31" spans="1:17" s="2" customFormat="1" ht="11.25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</row>
    <row r="32" spans="1:17" s="34" customFormat="1" ht="11.25">
      <c r="A32" s="382" t="str">
        <f>T('[1]p9'!$C$13:$G$13)</f>
        <v>Bianca Morelli Casalvara Caretta</v>
      </c>
      <c r="B32" s="404"/>
      <c r="C32" s="404"/>
      <c r="D32" s="404"/>
      <c r="E32" s="41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</row>
    <row r="33" spans="1:17" s="2" customFormat="1" ht="11.25">
      <c r="A33" s="43">
        <f>IF('[1]p9'!$A$406&lt;&gt;0,'[1]p9'!$A$406,"")</f>
      </c>
      <c r="B33" s="24">
        <f>IF('[1]p9'!$B$406&lt;&gt;0,'[1]p9'!$B$406,"")</f>
      </c>
      <c r="C33" s="24">
        <f>IF('[1]p9'!$C$406&lt;&gt;0,'[1]p9'!$C$406,"")</f>
      </c>
      <c r="D33" s="24">
        <f>IF('[1]p9'!$D$406&lt;&gt;0,'[1]p9'!$D$406,"")</f>
        <v>110</v>
      </c>
      <c r="E33" s="24">
        <f>IF('[1]p9'!$E$406&lt;&gt;0,'[1]p9'!$E$406,"")</f>
        <v>75</v>
      </c>
      <c r="F33" s="24">
        <f>IF('[1]p9'!$F$406&lt;&gt;0,'[1]p9'!$F$406,"")</f>
        <v>185</v>
      </c>
      <c r="G33" s="24">
        <f>IF('[1]p9'!$G$406&lt;&gt;0,'[1]p9'!$G$406,"")</f>
        <v>60</v>
      </c>
      <c r="H33" s="24">
        <f>IF('[1]p9'!$H$406&lt;&gt;0,'[1]p9'!$H$406,"")</f>
        <v>55</v>
      </c>
      <c r="I33" s="24">
        <f>IF('[1]p9'!$I$406&lt;&gt;0,'[1]p9'!$I$406,"")</f>
        <v>140</v>
      </c>
      <c r="J33" s="24">
        <f>IF('[1]p9'!$J$406&lt;&gt;0,'[1]p9'!$J$406,"")</f>
        <v>10</v>
      </c>
      <c r="K33" s="24">
        <f>IF('[1]p9'!$K$406&lt;&gt;0,'[1]p9'!$K$406,"")</f>
      </c>
      <c r="L33" s="24">
        <f>IF('[1]p9'!$L$406&lt;&gt;0,'[1]p9'!$L$406,"")</f>
      </c>
      <c r="M33" s="24" t="str">
        <f>IF('[1]p9'!$A$409&lt;&gt;0,'[1]p9'!$A$409," ")</f>
        <v> </v>
      </c>
      <c r="N33" s="24">
        <f>IF('[1]p9'!$B$409&lt;&gt;0,'[1]p9'!$B$409," ")</f>
        <v>5</v>
      </c>
      <c r="O33" s="24" t="str">
        <f>IF('[1]p9'!$C$409&lt;&gt;0,'[1]p9'!$C$409," ")</f>
        <v> </v>
      </c>
      <c r="P33" s="24" t="str">
        <f>IF('[1]p9'!$D$409&lt;&gt;0,'[1]p9'!$D$409," ")</f>
        <v> </v>
      </c>
      <c r="Q33" s="24">
        <f>IF('[1]p9'!$E$409&lt;&gt;0,'[1]p9'!$E$409," ")</f>
        <v>640</v>
      </c>
    </row>
    <row r="34" spans="1:17" s="2" customFormat="1" ht="11.25">
      <c r="A34" s="479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</row>
    <row r="35" spans="1:17" s="34" customFormat="1" ht="11.25">
      <c r="A35" s="382" t="str">
        <f>T('[1]p10'!$C$13:$G$13)</f>
        <v>Bráulio Maia Junior</v>
      </c>
      <c r="B35" s="381"/>
      <c r="C35" s="381"/>
      <c r="D35" s="381"/>
      <c r="E35" s="384"/>
      <c r="F35" s="484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</row>
    <row r="36" spans="1:17" s="2" customFormat="1" ht="11.25">
      <c r="A36" s="43">
        <f>IF('[1]p10'!$A$406&lt;&gt;0,'[1]p10'!$A$406,"")</f>
      </c>
      <c r="B36" s="43">
        <f>IF('[1]p10'!$B$406&lt;&gt;0,'[1]p10'!$B$406,"")</f>
      </c>
      <c r="C36" s="43">
        <f>IF('[1]p10'!$C$406&lt;&gt;0,'[1]p10'!$C$406,"")</f>
      </c>
      <c r="D36" s="43">
        <f>IF('[1]p10'!$D$406&lt;&gt;0,'[1]p10'!$D$406,"")</f>
      </c>
      <c r="E36" s="43">
        <f>IF('[1]p10'!$E$406&lt;&gt;0,'[1]p10'!$E$406,"")</f>
        <v>60</v>
      </c>
      <c r="F36" s="24">
        <f>IF('[1]p10'!$F$406&lt;&gt;0,'[1]p10'!$F$406,"")</f>
        <v>60</v>
      </c>
      <c r="G36" s="24">
        <f>IF('[1]p10'!$G$406&lt;&gt;0,'[1]p10'!$G$406,"")</f>
      </c>
      <c r="H36" s="24">
        <f>IF('[1]p10'!$H$406&lt;&gt;0,'[1]p10'!$H$406,"")</f>
        <v>80</v>
      </c>
      <c r="I36" s="24">
        <f>IF('[1]p10'!$I$406&lt;&gt;0,'[1]p10'!$I$406,"")</f>
        <v>150</v>
      </c>
      <c r="J36" s="24">
        <f>IF('[1]p10'!$J$406&lt;&gt;0,'[1]p10'!$J$406,"")</f>
      </c>
      <c r="K36" s="24">
        <f>IF('[1]p10'!$K$406&lt;&gt;0,'[1]p10'!$K$406,"")</f>
      </c>
      <c r="L36" s="24">
        <f>IF('[1]p10'!$L$406&lt;&gt;0,'[1]p10'!$L$406,"")</f>
        <v>100</v>
      </c>
      <c r="M36" s="24">
        <f>IF('[1]p10'!$A$409&lt;&gt;0,'[1]p10'!$A$409," ")</f>
        <v>390</v>
      </c>
      <c r="N36" s="24" t="str">
        <f>IF('[1]p10'!$B$409&lt;&gt;0,'[1]p10'!$B$409," ")</f>
        <v> </v>
      </c>
      <c r="O36" s="24" t="str">
        <f>IF('[1]p10'!$C$409&lt;&gt;0,'[1]p10'!$C$409," ")</f>
        <v> </v>
      </c>
      <c r="P36" s="24" t="str">
        <f>IF('[1]p10'!$D$409&lt;&gt;0,'[1]p10'!$D$409," ")</f>
        <v> </v>
      </c>
      <c r="Q36" s="24">
        <f>IF('[1]p10'!$E$409&lt;&gt;0,'[1]p10'!$E$409," ")</f>
        <v>840</v>
      </c>
    </row>
    <row r="37" spans="1:17" s="2" customFormat="1" ht="11.25">
      <c r="A37" s="479"/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</row>
    <row r="38" spans="1:17" s="34" customFormat="1" ht="11.25">
      <c r="A38" s="382" t="str">
        <f>T('[1]p11'!$C$13:$G$13)</f>
        <v>Claudianor Oliveira Alves</v>
      </c>
      <c r="B38" s="381"/>
      <c r="C38" s="381"/>
      <c r="D38" s="381"/>
      <c r="E38" s="384"/>
      <c r="F38" s="484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</row>
    <row r="39" spans="1:17" s="2" customFormat="1" ht="11.25">
      <c r="A39" s="43">
        <f>IF('[1]p11'!$A$406&lt;&gt;0,'[1]p11'!$A$406,"")</f>
        <v>840</v>
      </c>
      <c r="B39" s="43">
        <f>IF('[1]p11'!$B$406&lt;&gt;0,'[1]p11'!$B$406,"")</f>
      </c>
      <c r="C39" s="43">
        <f>IF('[1]p11'!$C$406&lt;&gt;0,'[1]p11'!$C$406,"")</f>
      </c>
      <c r="D39" s="43">
        <f>IF('[1]p11'!$D$406&lt;&gt;0,'[1]p11'!$D$406,"")</f>
      </c>
      <c r="E39" s="43">
        <f>IF('[1]p11'!$E$406&lt;&gt;0,'[1]p11'!$E$406,"")</f>
      </c>
      <c r="F39" s="24">
        <f>IF('[1]p11'!$F$406&lt;&gt;0,'[1]p11'!$F$406,"")</f>
      </c>
      <c r="G39" s="24">
        <f>IF('[1]p11'!$G$406&lt;&gt;0,'[1]p11'!$G$406,"")</f>
      </c>
      <c r="H39" s="24">
        <f>IF('[1]p11'!$H$406&lt;&gt;0,'[1]p11'!$H$406,"")</f>
      </c>
      <c r="I39" s="24">
        <f>IF('[1]p11'!$I$406&lt;&gt;0,'[1]p11'!$I$406,"")</f>
      </c>
      <c r="J39" s="24">
        <f>IF('[1]p11'!$J$406&lt;&gt;0,'[1]p11'!$J$406,"")</f>
      </c>
      <c r="K39" s="24">
        <f>IF('[1]p11'!$K$406&lt;&gt;0,'[1]p11'!$K$406,"")</f>
      </c>
      <c r="L39" s="24">
        <f>IF('[1]p11'!$L$406&lt;&gt;0,'[1]p11'!$L$406,"")</f>
      </c>
      <c r="M39" s="24" t="str">
        <f>IF('[1]p11'!$A$409&lt;&gt;0,'[1]p11'!$A$409," ")</f>
        <v> </v>
      </c>
      <c r="N39" s="24" t="str">
        <f>IF('[1]p11'!$B$409&lt;&gt;0,'[1]p11'!$B$409," ")</f>
        <v> </v>
      </c>
      <c r="O39" s="24" t="str">
        <f>IF('[1]p11'!$C$409&lt;&gt;0,'[1]p11'!$C$409," ")</f>
        <v> </v>
      </c>
      <c r="P39" s="24" t="str">
        <f>IF('[1]p11'!$D$409&lt;&gt;0,'[1]p11'!$D$409," ")</f>
        <v> </v>
      </c>
      <c r="Q39" s="24">
        <f>IF('[1]p11'!$E$409&lt;&gt;0,'[1]p11'!$E$409," ")</f>
        <v>840</v>
      </c>
    </row>
    <row r="40" spans="1:17" s="2" customFormat="1" ht="10.5" customHeight="1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</row>
    <row r="41" spans="1:17" s="1" customFormat="1" ht="12.75">
      <c r="A41" s="5" t="s">
        <v>31</v>
      </c>
      <c r="B41" s="6" t="s">
        <v>32</v>
      </c>
      <c r="C41" s="6" t="s">
        <v>33</v>
      </c>
      <c r="D41" s="6" t="s">
        <v>34</v>
      </c>
      <c r="E41" s="6" t="s">
        <v>35</v>
      </c>
      <c r="F41" s="6" t="s">
        <v>23</v>
      </c>
      <c r="G41" s="6" t="s">
        <v>36</v>
      </c>
      <c r="H41" s="6" t="s">
        <v>37</v>
      </c>
      <c r="I41" s="6" t="s">
        <v>38</v>
      </c>
      <c r="J41" s="6" t="s">
        <v>39</v>
      </c>
      <c r="K41" s="6" t="s">
        <v>40</v>
      </c>
      <c r="L41" s="6" t="s">
        <v>41</v>
      </c>
      <c r="M41" s="5" t="s">
        <v>42</v>
      </c>
      <c r="N41" s="6" t="s">
        <v>43</v>
      </c>
      <c r="O41" s="6" t="s">
        <v>44</v>
      </c>
      <c r="P41" s="6" t="s">
        <v>45</v>
      </c>
      <c r="Q41" s="6" t="s">
        <v>20</v>
      </c>
    </row>
    <row r="42" spans="1:17" s="2" customFormat="1" ht="11.25">
      <c r="A42" s="479"/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</row>
    <row r="43" spans="1:17" s="2" customFormat="1" ht="11.25">
      <c r="A43" s="382" t="str">
        <f>T('[1]p12'!$C$13:$G$13)</f>
        <v>Daniel Cordeiro de Morais Filho</v>
      </c>
      <c r="B43" s="381"/>
      <c r="C43" s="381"/>
      <c r="D43" s="381"/>
      <c r="E43" s="3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</row>
    <row r="44" spans="1:17" s="2" customFormat="1" ht="11.25">
      <c r="A44" s="43">
        <f>IF('[1]p12'!$A$406&lt;&gt;0,'[1]p12'!$A$406,"")</f>
      </c>
      <c r="B44" s="43">
        <f>IF('[1]p12'!$B$406&lt;&gt;0,'[1]p12'!$B$406,"")</f>
      </c>
      <c r="C44" s="43">
        <f>IF('[1]p12'!$C$406&lt;&gt;0,'[1]p12'!$C$406,"")</f>
      </c>
      <c r="D44" s="43">
        <f>IF('[1]p12'!$D$406&lt;&gt;0,'[1]p12'!$D$406,"")</f>
        <v>30</v>
      </c>
      <c r="E44" s="43">
        <f>IF('[1]p12'!$E$406&lt;&gt;0,'[1]p12'!$E$406,"")</f>
        <v>50</v>
      </c>
      <c r="F44" s="24">
        <f>IF('[1]p12'!$F$406&lt;&gt;0,'[1]p12'!$F$406,"")</f>
        <v>120</v>
      </c>
      <c r="G44" s="24">
        <f>IF('[1]p12'!$G$406&lt;&gt;0,'[1]p12'!$G$406,"")</f>
      </c>
      <c r="H44" s="24">
        <f>IF('[1]p12'!$H$406&lt;&gt;0,'[1]p12'!$H$406,"")</f>
        <v>20</v>
      </c>
      <c r="I44" s="24">
        <f>IF('[1]p12'!$I$406&lt;&gt;0,'[1]p12'!$I$406,"")</f>
        <v>260</v>
      </c>
      <c r="J44" s="24">
        <f>IF('[1]p12'!$J$406&lt;&gt;0,'[1]p12'!$J$406,"")</f>
        <v>80</v>
      </c>
      <c r="K44" s="24">
        <f>IF('[1]p12'!$K$406&lt;&gt;0,'[1]p12'!$K$406,"")</f>
        <v>5</v>
      </c>
      <c r="L44" s="24">
        <f>IF('[1]p12'!$L$406&lt;&gt;0,'[1]p12'!$L$406,"")</f>
      </c>
      <c r="M44" s="24" t="str">
        <f>IF('[1]p12'!$A$409&lt;&gt;0,'[1]p12'!$A$409," ")</f>
        <v> </v>
      </c>
      <c r="N44" s="24">
        <f>IF('[1]p12'!$B$409&lt;&gt;0,'[1]p12'!$B$409," ")</f>
        <v>100</v>
      </c>
      <c r="O44" s="24">
        <f>IF('[1]p12'!$C$409&lt;&gt;0,'[1]p12'!$C$409," ")</f>
        <v>25</v>
      </c>
      <c r="P44" s="24">
        <f>IF('[1]p12'!$D$409&lt;&gt;0,'[1]p12'!$D$409," ")</f>
        <v>130</v>
      </c>
      <c r="Q44" s="24">
        <f>IF('[1]p12'!$E$409&lt;&gt;0,'[1]p12'!$E$409," ")</f>
        <v>820</v>
      </c>
    </row>
    <row r="45" spans="1:17" s="2" customFormat="1" ht="11.25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</row>
    <row r="46" spans="1:17" s="2" customFormat="1" ht="11.25">
      <c r="A46" s="382" t="str">
        <f>T('[1]p13'!$C$13:$G$13)</f>
        <v>Florence Ayres Campello de Oliveira</v>
      </c>
      <c r="B46" s="381"/>
      <c r="C46" s="381"/>
      <c r="D46" s="381"/>
      <c r="E46" s="384"/>
      <c r="F46" s="484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</row>
    <row r="47" spans="1:17" s="2" customFormat="1" ht="11.25">
      <c r="A47" s="43">
        <f>IF('[1]p13'!$A$406&lt;&gt;0,'[1]p13'!$A$406,"")</f>
      </c>
      <c r="B47" s="43">
        <f>IF('[1]p13'!$B$406&lt;&gt;0,'[1]p13'!$B$406,"")</f>
      </c>
      <c r="C47" s="43">
        <f>IF('[1]p13'!$C$406&lt;&gt;0,'[1]p13'!$C$406,"")</f>
      </c>
      <c r="D47" s="43">
        <f>IF('[1]p13'!$D$406&lt;&gt;0,'[1]p13'!$D$406,"")</f>
        <v>180</v>
      </c>
      <c r="E47" s="43">
        <f>IF('[1]p13'!$E$406&lt;&gt;0,'[1]p13'!$E$406,"")</f>
      </c>
      <c r="F47" s="24">
        <f>IF('[1]p13'!$F$406&lt;&gt;0,'[1]p13'!$F$406,"")</f>
        <v>360</v>
      </c>
      <c r="G47" s="24">
        <f>IF('[1]p13'!$G$406&lt;&gt;0,'[1]p13'!$G$406,"")</f>
        <v>32</v>
      </c>
      <c r="H47" s="24">
        <f>IF('[1]p13'!$H$406&lt;&gt;0,'[1]p13'!$H$406,"")</f>
      </c>
      <c r="I47" s="24">
        <f>IF('[1]p13'!$I$406&lt;&gt;0,'[1]p13'!$I$406,"")</f>
      </c>
      <c r="J47" s="24">
        <f>IF('[1]p13'!$J$406&lt;&gt;0,'[1]p13'!$J$406,"")</f>
      </c>
      <c r="K47" s="24">
        <f>IF('[1]p13'!$K$406&lt;&gt;0,'[1]p13'!$K$406,"")</f>
      </c>
      <c r="L47" s="24">
        <f>IF('[1]p13'!$L$406&lt;&gt;0,'[1]p13'!$L$406,"")</f>
        <v>2</v>
      </c>
      <c r="M47" s="24" t="str">
        <f>IF('[1]p13'!$A$409&lt;&gt;0,'[1]p13'!$A$409," ")</f>
        <v> </v>
      </c>
      <c r="N47" s="24">
        <f>IF('[1]p13'!$B$409&lt;&gt;0,'[1]p13'!$B$409," ")</f>
        <v>40</v>
      </c>
      <c r="O47" s="24">
        <f>IF('[1]p13'!$C$409&lt;&gt;0,'[1]p13'!$C$409," ")</f>
        <v>6</v>
      </c>
      <c r="P47" s="24">
        <f>IF('[1]p13'!$D$409&lt;&gt;0,'[1]p13'!$D$409," ")</f>
        <v>60</v>
      </c>
      <c r="Q47" s="24">
        <f>IF('[1]p13'!$E$409&lt;&gt;0,'[1]p13'!$E$409," ")</f>
        <v>680</v>
      </c>
    </row>
    <row r="48" spans="1:17" s="2" customFormat="1" ht="11.25">
      <c r="A48" s="479"/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</row>
    <row r="49" spans="1:17" s="2" customFormat="1" ht="11.25">
      <c r="A49" s="382" t="str">
        <f>T('[1]p14'!$C$13:$G$13)</f>
        <v>Francisco Antônio Morais de Souza</v>
      </c>
      <c r="B49" s="381"/>
      <c r="C49" s="381"/>
      <c r="D49" s="381"/>
      <c r="E49" s="384"/>
      <c r="F49" s="484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</row>
    <row r="50" spans="1:17" s="2" customFormat="1" ht="11.25">
      <c r="A50" s="43">
        <f>IF('[1]p14'!$A$406&lt;&gt;0,'[1]p14'!$A$406,"")</f>
      </c>
      <c r="B50" s="43">
        <f>IF('[1]p14'!$B$406&lt;&gt;0,'[1]p14'!$B$406,"")</f>
      </c>
      <c r="C50" s="43">
        <f>IF('[1]p14'!$C$406&lt;&gt;0,'[1]p14'!$C$406,"")</f>
      </c>
      <c r="D50" s="43">
        <f>IF('[1]p14'!$D$406&lt;&gt;0,'[1]p14'!$D$406,"")</f>
        <v>120</v>
      </c>
      <c r="E50" s="43">
        <f>IF('[1]p14'!$E$406&lt;&gt;0,'[1]p14'!$E$406,"")</f>
      </c>
      <c r="F50" s="24">
        <f>IF('[1]p14'!$F$406&lt;&gt;0,'[1]p14'!$F$406,"")</f>
        <v>120</v>
      </c>
      <c r="G50" s="24">
        <f>IF('[1]p14'!$G$406&lt;&gt;0,'[1]p14'!$G$406,"")</f>
        <v>120</v>
      </c>
      <c r="H50" s="24">
        <f>IF('[1]p14'!$H$406&lt;&gt;0,'[1]p14'!$H$406,"")</f>
      </c>
      <c r="I50" s="24">
        <f>IF('[1]p14'!$I$406&lt;&gt;0,'[1]p14'!$I$406,"")</f>
        <v>40</v>
      </c>
      <c r="J50" s="24">
        <f>IF('[1]p14'!$J$406&lt;&gt;0,'[1]p14'!$J$406,"")</f>
      </c>
      <c r="K50" s="24">
        <f>IF('[1]p14'!$K$406&lt;&gt;0,'[1]p14'!$K$406,"")</f>
      </c>
      <c r="L50" s="24">
        <f>IF('[1]p14'!$L$406&lt;&gt;0,'[1]p14'!$L$406,"")</f>
        <v>16</v>
      </c>
      <c r="M50" s="24" t="str">
        <f>IF('[1]p14'!$A$409&lt;&gt;0,'[1]p14'!$A$409," ")</f>
        <v> </v>
      </c>
      <c r="N50" s="24">
        <f>IF('[1]p14'!$B$409&lt;&gt;0,'[1]p14'!$B$409," ")</f>
        <v>300</v>
      </c>
      <c r="O50" s="24">
        <f>IF('[1]p14'!$C$409&lt;&gt;0,'[1]p14'!$C$409," ")</f>
        <v>8</v>
      </c>
      <c r="P50" s="24">
        <f>IF('[1]p14'!$D$409&lt;&gt;0,'[1]p14'!$D$409," ")</f>
        <v>100</v>
      </c>
      <c r="Q50" s="24">
        <f>IF('[1]p14'!$E$409&lt;&gt;0,'[1]p14'!$E$409," ")</f>
        <v>824</v>
      </c>
    </row>
    <row r="51" spans="1:17" s="2" customFormat="1" ht="11.25">
      <c r="A51" s="479"/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</row>
    <row r="52" spans="1:17" s="2" customFormat="1" ht="11.25">
      <c r="A52" s="382" t="str">
        <f>T('[1]p15'!$C$13:$G$13)</f>
        <v>Francisco Júlio Sobreira de A. Corrêa</v>
      </c>
      <c r="B52" s="381"/>
      <c r="C52" s="381"/>
      <c r="D52" s="381"/>
      <c r="E52" s="384"/>
      <c r="F52" s="484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</row>
    <row r="53" spans="1:17" s="2" customFormat="1" ht="11.25">
      <c r="A53" s="43">
        <f>IF('[1]p15'!$A$406&lt;&gt;0,'[1]p15'!$A$406,"")</f>
      </c>
      <c r="B53" s="43">
        <f>IF('[1]p15'!$B$406&lt;&gt;0,'[1]p15'!$B$406,"")</f>
      </c>
      <c r="C53" s="43">
        <f>IF('[1]p15'!$C$406&lt;&gt;0,'[1]p15'!$C$406,"")</f>
        <v>20</v>
      </c>
      <c r="D53" s="43">
        <f>IF('[1]p15'!$D$406&lt;&gt;0,'[1]p15'!$D$406,"")</f>
        <v>150</v>
      </c>
      <c r="E53" s="43">
        <f>IF('[1]p15'!$E$406&lt;&gt;0,'[1]p15'!$E$406,"")</f>
        <v>34</v>
      </c>
      <c r="F53" s="24">
        <f>IF('[1]p15'!$F$406&lt;&gt;0,'[1]p15'!$F$406,"")</f>
        <v>300</v>
      </c>
      <c r="G53" s="24">
        <f>IF('[1]p15'!$G$406&lt;&gt;0,'[1]p15'!$G$406,"")</f>
        <v>10</v>
      </c>
      <c r="H53" s="24">
        <f>IF('[1]p15'!$H$406&lt;&gt;0,'[1]p15'!$H$406,"")</f>
        <v>20</v>
      </c>
      <c r="I53" s="24">
        <f>IF('[1]p15'!$I$406&lt;&gt;0,'[1]p15'!$I$406,"")</f>
        <v>100</v>
      </c>
      <c r="J53" s="24">
        <f>IF('[1]p15'!$J$406&lt;&gt;0,'[1]p15'!$J$406,"")</f>
      </c>
      <c r="K53" s="24">
        <f>IF('[1]p15'!$K$406&lt;&gt;0,'[1]p15'!$K$406,"")</f>
      </c>
      <c r="L53" s="24">
        <f>IF('[1]p15'!$L$406&lt;&gt;0,'[1]p15'!$L$406,"")</f>
      </c>
      <c r="M53" s="24" t="str">
        <f>IF('[1]p15'!$A$409&lt;&gt;0,'[1]p15'!$A$409," ")</f>
        <v> </v>
      </c>
      <c r="N53" s="24" t="str">
        <f>IF('[1]p15'!$B$409&lt;&gt;0,'[1]p15'!$B$409," ")</f>
        <v> </v>
      </c>
      <c r="O53" s="24">
        <f>IF('[1]p15'!$C$409&lt;&gt;0,'[1]p15'!$C$409," ")</f>
        <v>4</v>
      </c>
      <c r="P53" s="24" t="str">
        <f>IF('[1]p15'!$D$409&lt;&gt;0,'[1]p15'!$D$409," ")</f>
        <v> </v>
      </c>
      <c r="Q53" s="24">
        <f>IF('[1]p15'!$E$409&lt;&gt;0,'[1]p15'!$E$409," ")</f>
        <v>638</v>
      </c>
    </row>
    <row r="54" spans="1:17" s="2" customFormat="1" ht="11.25">
      <c r="A54" s="479"/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</row>
    <row r="55" spans="1:17" s="2" customFormat="1" ht="11.25">
      <c r="A55" s="382" t="str">
        <f>T('[1]p16'!$C$13:$G$13)</f>
        <v>Gilberto da Silva Matos</v>
      </c>
      <c r="B55" s="381"/>
      <c r="C55" s="381"/>
      <c r="D55" s="381"/>
      <c r="E55" s="384"/>
      <c r="F55" s="484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</row>
    <row r="56" spans="1:17" s="2" customFormat="1" ht="11.25">
      <c r="A56" s="43">
        <f>IF('[1]p16'!$A$406&lt;&gt;0,'[1]p16'!$A$406,"")</f>
      </c>
      <c r="B56" s="43">
        <f>IF('[1]p16'!$B$406&lt;&gt;0,'[1]p16'!$B$406,"")</f>
      </c>
      <c r="C56" s="43">
        <f>IF('[1]p16'!$C$406&lt;&gt;0,'[1]p16'!$C$406,"")</f>
        <v>412</v>
      </c>
      <c r="D56" s="43">
        <f>IF('[1]p16'!$D$406&lt;&gt;0,'[1]p16'!$D$406,"")</f>
        <v>120</v>
      </c>
      <c r="E56" s="43">
        <f>IF('[1]p16'!$E$406&lt;&gt;0,'[1]p16'!$E$406,"")</f>
      </c>
      <c r="F56" s="24">
        <f>IF('[1]p16'!$F$406&lt;&gt;0,'[1]p16'!$F$406,"")</f>
        <v>240</v>
      </c>
      <c r="G56" s="24">
        <f>IF('[1]p16'!$G$406&lt;&gt;0,'[1]p16'!$G$406,"")</f>
        <v>16</v>
      </c>
      <c r="H56" s="24">
        <f>IF('[1]p16'!$H$406&lt;&gt;0,'[1]p16'!$H$406,"")</f>
      </c>
      <c r="I56" s="24">
        <f>IF('[1]p16'!$I$406&lt;&gt;0,'[1]p16'!$I$406,"")</f>
      </c>
      <c r="J56" s="24">
        <f>IF('[1]p16'!$J$406&lt;&gt;0,'[1]p16'!$J$406,"")</f>
      </c>
      <c r="K56" s="24">
        <f>IF('[1]p16'!$K$406&lt;&gt;0,'[1]p16'!$K$406,"")</f>
      </c>
      <c r="L56" s="24">
        <f>IF('[1]p16'!$L$406&lt;&gt;0,'[1]p16'!$L$406,"")</f>
        <v>12</v>
      </c>
      <c r="M56" s="24" t="str">
        <f>IF('[1]p16'!$A$409&lt;&gt;0,'[1]p16'!$A$409," ")</f>
        <v> </v>
      </c>
      <c r="N56" s="24">
        <f>IF('[1]p16'!$B$409&lt;&gt;0,'[1]p16'!$B$409," ")</f>
        <v>20</v>
      </c>
      <c r="O56" s="24">
        <f>IF('[1]p16'!$C$409&lt;&gt;0,'[1]p16'!$C$409," ")</f>
        <v>4</v>
      </c>
      <c r="P56" s="24" t="str">
        <f>IF('[1]p16'!$D$409&lt;&gt;0,'[1]p16'!$D$409," ")</f>
        <v> </v>
      </c>
      <c r="Q56" s="24">
        <f>IF('[1]p16'!$E$409&lt;&gt;0,'[1]p16'!$E$409," ")</f>
        <v>824</v>
      </c>
    </row>
    <row r="57" spans="1:17" s="2" customFormat="1" ht="11.25">
      <c r="A57" s="479"/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</row>
    <row r="58" spans="1:17" s="2" customFormat="1" ht="11.25">
      <c r="A58" s="382" t="str">
        <f>T('[1]p17'!$C$13:$G$13)</f>
        <v>Henrique Fernandes de Lima</v>
      </c>
      <c r="B58" s="381"/>
      <c r="C58" s="381"/>
      <c r="D58" s="381"/>
      <c r="E58" s="384"/>
      <c r="F58" s="484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</row>
    <row r="59" spans="1:17" s="2" customFormat="1" ht="11.25">
      <c r="A59" s="43">
        <f>IF('[1]p17'!$A$406&lt;&gt;0,'[1]p17'!$A$406,"")</f>
      </c>
      <c r="B59" s="43">
        <f>IF('[1]p17'!$B$406&lt;&gt;0,'[1]p17'!$B$406,"")</f>
      </c>
      <c r="C59" s="43">
        <f>IF('[1]p17'!$C$406&lt;&gt;0,'[1]p17'!$C$406,"")</f>
      </c>
      <c r="D59" s="43">
        <f>IF('[1]p17'!$D$406&lt;&gt;0,'[1]p17'!$D$406,"")</f>
        <v>120</v>
      </c>
      <c r="E59" s="43">
        <f>IF('[1]p17'!$E$406&lt;&gt;0,'[1]p17'!$E$406,"")</f>
      </c>
      <c r="F59" s="24">
        <f>IF('[1]p17'!$F$406&lt;&gt;0,'[1]p17'!$F$406,"")</f>
        <v>120</v>
      </c>
      <c r="G59" s="24">
        <f>IF('[1]p17'!$G$406&lt;&gt;0,'[1]p17'!$G$406,"")</f>
      </c>
      <c r="H59" s="24">
        <f>IF('[1]p17'!$H$406&lt;&gt;0,'[1]p17'!$H$406,"")</f>
        <v>40</v>
      </c>
      <c r="I59" s="24">
        <f>IF('[1]p17'!$I$406&lt;&gt;0,'[1]p17'!$I$406,"")</f>
        <v>500</v>
      </c>
      <c r="J59" s="24">
        <f>IF('[1]p17'!$J$406&lt;&gt;0,'[1]p17'!$J$406,"")</f>
      </c>
      <c r="K59" s="24">
        <f>IF('[1]p17'!$K$406&lt;&gt;0,'[1]p17'!$K$406,"")</f>
      </c>
      <c r="L59" s="24">
        <f>IF('[1]p17'!$L$406&lt;&gt;0,'[1]p17'!$L$406,"")</f>
        <v>28</v>
      </c>
      <c r="M59" s="24" t="str">
        <f>IF('[1]p17'!$A$409&lt;&gt;0,'[1]p17'!$A$409," ")</f>
        <v> </v>
      </c>
      <c r="N59" s="24" t="str">
        <f>IF('[1]p17'!$B$409&lt;&gt;0,'[1]p17'!$B$409," ")</f>
        <v> </v>
      </c>
      <c r="O59" s="24" t="str">
        <f>IF('[1]p17'!$C$409&lt;&gt;0,'[1]p17'!$C$409," ")</f>
        <v> </v>
      </c>
      <c r="P59" s="24" t="str">
        <f>IF('[1]p17'!$D$409&lt;&gt;0,'[1]p17'!$D$409," ")</f>
        <v> </v>
      </c>
      <c r="Q59" s="24">
        <f>IF('[1]p17'!$E$409&lt;&gt;0,'[1]p17'!$E$409," ")</f>
        <v>808</v>
      </c>
    </row>
    <row r="60" spans="1:17" s="2" customFormat="1" ht="11.25">
      <c r="A60" s="479"/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</row>
    <row r="61" spans="1:17" s="2" customFormat="1" ht="11.25">
      <c r="A61" s="382" t="str">
        <f>T('[1]p18'!$C$13:$G$13)</f>
        <v>Izabel Maria Barbosa de Albuquerque</v>
      </c>
      <c r="B61" s="381"/>
      <c r="C61" s="381"/>
      <c r="D61" s="381"/>
      <c r="E61" s="384"/>
      <c r="F61" s="484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</row>
    <row r="62" spans="1:17" s="2" customFormat="1" ht="11.25">
      <c r="A62" s="43">
        <f>IF('[1]p18'!$A$406&lt;&gt;0,'[1]p18'!$A$406,"")</f>
      </c>
      <c r="B62" s="43">
        <f>IF('[1]p18'!$B$406&lt;&gt;0,'[1]p18'!$B$406,"")</f>
      </c>
      <c r="C62" s="43">
        <f>IF('[1]p18'!$C$406&lt;&gt;0,'[1]p18'!$C$406,"")</f>
      </c>
      <c r="D62" s="43">
        <f>IF('[1]p18'!$D$406&lt;&gt;0,'[1]p18'!$D$406,"")</f>
        <v>180</v>
      </c>
      <c r="E62" s="43">
        <f>IF('[1]p18'!$E$406&lt;&gt;0,'[1]p18'!$E$406,"")</f>
      </c>
      <c r="F62" s="24">
        <f>IF('[1]p18'!$F$406&lt;&gt;0,'[1]p18'!$F$406,"")</f>
        <v>400</v>
      </c>
      <c r="G62" s="24">
        <f>IF('[1]p18'!$G$406&lt;&gt;0,'[1]p18'!$G$406,"")</f>
      </c>
      <c r="H62" s="24">
        <f>IF('[1]p18'!$H$406&lt;&gt;0,'[1]p18'!$H$406,"")</f>
      </c>
      <c r="I62" s="24">
        <f>IF('[1]p18'!$I$406&lt;&gt;0,'[1]p18'!$I$406,"")</f>
      </c>
      <c r="J62" s="24">
        <f>IF('[1]p18'!$J$406&lt;&gt;0,'[1]p18'!$J$406,"")</f>
      </c>
      <c r="K62" s="24">
        <f>IF('[1]p18'!$K$406&lt;&gt;0,'[1]p18'!$K$406,"")</f>
      </c>
      <c r="L62" s="24">
        <f>IF('[1]p18'!$L$406&lt;&gt;0,'[1]p18'!$L$406,"")</f>
      </c>
      <c r="M62" s="24" t="str">
        <f>IF('[1]p18'!$A$409&lt;&gt;0,'[1]p18'!$A$409," ")</f>
        <v> </v>
      </c>
      <c r="N62" s="24">
        <f>IF('[1]p18'!$B$409&lt;&gt;0,'[1]p18'!$B$409," ")</f>
        <v>131</v>
      </c>
      <c r="O62" s="24">
        <f>IF('[1]p18'!$C$409&lt;&gt;0,'[1]p18'!$C$409," ")</f>
        <v>4</v>
      </c>
      <c r="P62" s="24">
        <f>IF('[1]p18'!$D$409&lt;&gt;0,'[1]p18'!$D$409," ")</f>
        <v>60</v>
      </c>
      <c r="Q62" s="24">
        <f>IF('[1]p18'!$E$409&lt;&gt;0,'[1]p18'!$E$409," ")</f>
        <v>775</v>
      </c>
    </row>
    <row r="63" spans="1:17" s="2" customFormat="1" ht="11.25">
      <c r="A63" s="479"/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</row>
    <row r="64" spans="1:17" s="2" customFormat="1" ht="11.25">
      <c r="A64" s="382" t="str">
        <f>T('[1]p48'!$C$13:$G$13)</f>
        <v>Jaime Alves Barbosa Sobrinho</v>
      </c>
      <c r="B64" s="381"/>
      <c r="C64" s="381"/>
      <c r="D64" s="381"/>
      <c r="E64" s="384"/>
      <c r="F64" s="484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</row>
    <row r="65" spans="1:17" s="2" customFormat="1" ht="11.25">
      <c r="A65" s="43">
        <f>IF('[1]p48'!$A$406&lt;&gt;0,'[1]p48'!$A$406,"")</f>
      </c>
      <c r="B65" s="43">
        <f>IF('[1]p48'!$B$406&lt;&gt;0,'[1]p48'!$B$406,"")</f>
      </c>
      <c r="C65" s="43">
        <f>IF('[1]p48'!$C$406&lt;&gt;0,'[1]p48'!$C$406,"")</f>
      </c>
      <c r="D65" s="43">
        <f>IF('[1]p48'!$D$406&lt;&gt;0,'[1]p48'!$D$406,"")</f>
        <v>90</v>
      </c>
      <c r="E65" s="43">
        <f>IF('[1]p48'!$E$406&lt;&gt;0,'[1]p48'!$E$406,"")</f>
      </c>
      <c r="F65" s="24">
        <f>IF('[1]p48'!$F$406&lt;&gt;0,'[1]p48'!$F$406,"")</f>
        <v>90</v>
      </c>
      <c r="G65" s="24">
        <f>IF('[1]p48'!$G$406&lt;&gt;0,'[1]p48'!$G$406,"")</f>
      </c>
      <c r="H65" s="24">
        <f>IF('[1]p48'!$H$406&lt;&gt;0,'[1]p48'!$H$406,"")</f>
      </c>
      <c r="I65" s="24">
        <f>IF('[1]p48'!$I$406&lt;&gt;0,'[1]p48'!$I$406,"")</f>
      </c>
      <c r="J65" s="24">
        <f>IF('[1]p48'!$J$406&lt;&gt;0,'[1]p48'!$J$406,"")</f>
      </c>
      <c r="K65" s="24">
        <f>IF('[1]p48'!$K$406&lt;&gt;0,'[1]p48'!$K$406,"")</f>
      </c>
      <c r="L65" s="24">
        <f>IF('[1]p48'!$L$406&lt;&gt;0,'[1]p48'!$L$406,"")</f>
        <v>30</v>
      </c>
      <c r="M65" s="24">
        <f>IF('[1]p48'!$A$409&lt;&gt;0,'[1]p48'!$A$409," ")</f>
        <v>500</v>
      </c>
      <c r="N65" s="24" t="str">
        <f>IF('[1]p48'!$B$409&lt;&gt;0,'[1]p48'!$B$409," ")</f>
        <v> </v>
      </c>
      <c r="O65" s="24">
        <f>IF('[1]p48'!$C$409&lt;&gt;0,'[1]p48'!$C$409," ")</f>
        <v>90</v>
      </c>
      <c r="P65" s="24" t="str">
        <f>IF('[1]p48'!$D$409&lt;&gt;0,'[1]p48'!$D$409," ")</f>
        <v> </v>
      </c>
      <c r="Q65" s="24">
        <f>IF('[1]p48'!$E$409&lt;&gt;0,'[1]p48'!$E$409," ")</f>
        <v>800</v>
      </c>
    </row>
    <row r="66" spans="1:17" s="2" customFormat="1" ht="11.25">
      <c r="A66" s="479"/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</row>
    <row r="67" spans="1:17" s="2" customFormat="1" ht="11.25">
      <c r="A67" s="382" t="str">
        <f>T('[1]p19'!$C$13:$G$13)</f>
        <v>Jesualdo Gomes das Chagas</v>
      </c>
      <c r="B67" s="381"/>
      <c r="C67" s="381"/>
      <c r="D67" s="381"/>
      <c r="E67" s="384"/>
      <c r="F67" s="484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</row>
    <row r="68" spans="1:17" s="2" customFormat="1" ht="11.25">
      <c r="A68" s="43">
        <f>IF('[1]p19'!$A$406&lt;&gt;0,'[1]p19'!$A$406,"")</f>
      </c>
      <c r="B68" s="43">
        <f>IF('[1]p19'!$B$406&lt;&gt;0,'[1]p19'!$B$406,"")</f>
      </c>
      <c r="C68" s="43">
        <f>IF('[1]p19'!$C$406&lt;&gt;0,'[1]p19'!$C$406,"")</f>
      </c>
      <c r="D68" s="43">
        <f>IF('[1]p19'!$D$406&lt;&gt;0,'[1]p19'!$D$406,"")</f>
        <v>180</v>
      </c>
      <c r="E68" s="43">
        <f>IF('[1]p19'!$E$406&lt;&gt;0,'[1]p19'!$E$406,"")</f>
      </c>
      <c r="F68" s="24">
        <f>IF('[1]p19'!$F$406&lt;&gt;0,'[1]p19'!$F$406,"")</f>
        <v>390</v>
      </c>
      <c r="G68" s="24">
        <f>IF('[1]p19'!$G$406&lt;&gt;0,'[1]p19'!$G$406,"")</f>
        <v>150</v>
      </c>
      <c r="H68" s="24">
        <f>IF('[1]p19'!$H$406&lt;&gt;0,'[1]p19'!$H$406,"")</f>
      </c>
      <c r="I68" s="24">
        <f>IF('[1]p19'!$I$406&lt;&gt;0,'[1]p19'!$I$406,"")</f>
      </c>
      <c r="J68" s="24">
        <f>IF('[1]p19'!$J$406&lt;&gt;0,'[1]p19'!$J$406,"")</f>
      </c>
      <c r="K68" s="24">
        <f>IF('[1]p19'!$K$406&lt;&gt;0,'[1]p19'!$K$406,"")</f>
        <v>20</v>
      </c>
      <c r="L68" s="24">
        <f>IF('[1]p19'!$L$406&lt;&gt;0,'[1]p19'!$L$406,"")</f>
      </c>
      <c r="M68" s="24" t="str">
        <f>IF('[1]p19'!$A$409&lt;&gt;0,'[1]p19'!$A$409," ")</f>
        <v> </v>
      </c>
      <c r="N68" s="24">
        <f>IF('[1]p19'!$B$409&lt;&gt;0,'[1]p19'!$B$409," ")</f>
        <v>50</v>
      </c>
      <c r="O68" s="24">
        <f>IF('[1]p19'!$C$409&lt;&gt;0,'[1]p19'!$C$409," ")</f>
        <v>1</v>
      </c>
      <c r="P68" s="24">
        <f>IF('[1]p19'!$D$409&lt;&gt;0,'[1]p19'!$D$409," ")</f>
        <v>20</v>
      </c>
      <c r="Q68" s="24">
        <f>IF('[1]p19'!$E$409&lt;&gt;0,'[1]p19'!$E$409," ")</f>
        <v>811</v>
      </c>
    </row>
    <row r="69" spans="1:17" s="2" customFormat="1" ht="11.25">
      <c r="A69" s="479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</row>
    <row r="70" spans="1:17" s="2" customFormat="1" ht="11.25">
      <c r="A70" s="382" t="str">
        <f>T('[1]p20'!$C$13:$G$13)</f>
        <v>José de Arimatéia Fernandes</v>
      </c>
      <c r="B70" s="381"/>
      <c r="C70" s="381"/>
      <c r="D70" s="381"/>
      <c r="E70" s="384"/>
      <c r="F70" s="484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</row>
    <row r="71" spans="1:17" s="2" customFormat="1" ht="11.25">
      <c r="A71" s="43">
        <f>IF('[1]p20'!$A$406&lt;&gt;0,'[1]p20'!$A$406,"")</f>
      </c>
      <c r="B71" s="43">
        <f>IF('[1]p20'!$B$406&lt;&gt;0,'[1]p20'!$B$406,"")</f>
      </c>
      <c r="C71" s="43">
        <f>IF('[1]p20'!$C$406&lt;&gt;0,'[1]p20'!$C$406,"")</f>
      </c>
      <c r="D71" s="43">
        <f>IF('[1]p20'!$D$406&lt;&gt;0,'[1]p20'!$D$406,"")</f>
        <v>180</v>
      </c>
      <c r="E71" s="43">
        <f>IF('[1]p20'!$E$406&lt;&gt;0,'[1]p20'!$E$406,"")</f>
      </c>
      <c r="F71" s="24">
        <f>IF('[1]p20'!$F$406&lt;&gt;0,'[1]p20'!$F$406,"")</f>
        <v>180</v>
      </c>
      <c r="G71" s="24">
        <f>IF('[1]p20'!$G$406&lt;&gt;0,'[1]p20'!$G$406,"")</f>
        <v>180</v>
      </c>
      <c r="H71" s="24">
        <f>IF('[1]p20'!$H$406&lt;&gt;0,'[1]p20'!$H$406,"")</f>
      </c>
      <c r="I71" s="24">
        <f>IF('[1]p20'!$I$406&lt;&gt;0,'[1]p20'!$I$406,"")</f>
      </c>
      <c r="J71" s="24">
        <f>IF('[1]p20'!$J$406&lt;&gt;0,'[1]p20'!$J$406,"")</f>
        <v>120</v>
      </c>
      <c r="K71" s="24">
        <f>IF('[1]p20'!$K$406&lt;&gt;0,'[1]p20'!$K$406,"")</f>
      </c>
      <c r="L71" s="24">
        <f>IF('[1]p20'!$L$406&lt;&gt;0,'[1]p20'!$L$406,"")</f>
        <v>16</v>
      </c>
      <c r="M71" s="24" t="str">
        <f>IF('[1]p20'!$A$409&lt;&gt;0,'[1]p20'!$A$409," ")</f>
        <v> </v>
      </c>
      <c r="N71" s="24">
        <f>IF('[1]p20'!$B$409&lt;&gt;0,'[1]p20'!$B$409," ")</f>
        <v>4</v>
      </c>
      <c r="O71" s="24">
        <f>IF('[1]p20'!$C$409&lt;&gt;0,'[1]p20'!$C$409," ")</f>
        <v>20</v>
      </c>
      <c r="P71" s="24" t="str">
        <f>IF('[1]p20'!$D$409&lt;&gt;0,'[1]p20'!$D$409," ")</f>
        <v> </v>
      </c>
      <c r="Q71" s="24">
        <f>IF('[1]p20'!$E$409&lt;&gt;0,'[1]p20'!$E$409," ")</f>
        <v>700</v>
      </c>
    </row>
    <row r="72" spans="1:17" s="2" customFormat="1" ht="11.25">
      <c r="A72" s="479"/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</row>
    <row r="73" spans="1:17" s="34" customFormat="1" ht="11.25">
      <c r="A73" s="382" t="str">
        <f>T('[1]p21'!$C$13:$G$13)</f>
        <v>Joseilson Raimundo de Lima</v>
      </c>
      <c r="B73" s="381"/>
      <c r="C73" s="381"/>
      <c r="D73" s="381"/>
      <c r="E73" s="384"/>
      <c r="F73" s="484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</row>
    <row r="74" spans="1:17" s="2" customFormat="1" ht="11.25">
      <c r="A74" s="43">
        <f>IF('[1]p21'!$A$406&lt;&gt;0,'[1]p21'!$A$406,"")</f>
        <v>560</v>
      </c>
      <c r="B74" s="43">
        <f>IF('[1]p21'!$B$406&lt;&gt;0,'[1]p21'!$B$406,"")</f>
      </c>
      <c r="C74" s="43">
        <f>IF('[1]p21'!$C$406&lt;&gt;0,'[1]p21'!$C$406,"")</f>
      </c>
      <c r="D74" s="43">
        <f>IF('[1]p21'!$D$406&lt;&gt;0,'[1]p21'!$D$406,"")</f>
        <v>84</v>
      </c>
      <c r="E74" s="43">
        <f>IF('[1]p21'!$E$406&lt;&gt;0,'[1]p21'!$E$406,"")</f>
      </c>
      <c r="F74" s="24">
        <f>IF('[1]p21'!$F$406&lt;&gt;0,'[1]p21'!$F$406,"")</f>
        <v>84</v>
      </c>
      <c r="G74" s="24">
        <f>IF('[1]p21'!$G$406&lt;&gt;0,'[1]p21'!$G$406,"")</f>
      </c>
      <c r="H74" s="24">
        <f>IF('[1]p21'!$H$406&lt;&gt;0,'[1]p21'!$H$406,"")</f>
      </c>
      <c r="I74" s="24">
        <f>IF('[1]p21'!$I$406&lt;&gt;0,'[1]p21'!$I$406,"")</f>
      </c>
      <c r="J74" s="24">
        <f>IF('[1]p21'!$J$406&lt;&gt;0,'[1]p21'!$J$406,"")</f>
      </c>
      <c r="K74" s="24">
        <f>IF('[1]p21'!$K$406&lt;&gt;0,'[1]p21'!$K$406,"")</f>
      </c>
      <c r="L74" s="24">
        <f>IF('[1]p21'!$L$406&lt;&gt;0,'[1]p21'!$L$406,"")</f>
      </c>
      <c r="M74" s="24" t="str">
        <f>IF('[1]p21'!$A$409&lt;&gt;0,'[1]p21'!$A$409," ")</f>
        <v> </v>
      </c>
      <c r="N74" s="24" t="str">
        <f>IF('[1]p21'!$B$409&lt;&gt;0,'[1]p21'!$B$409," ")</f>
        <v> </v>
      </c>
      <c r="O74" s="24" t="str">
        <f>IF('[1]p21'!$C$409&lt;&gt;0,'[1]p21'!$C$409," ")</f>
        <v> </v>
      </c>
      <c r="P74" s="24" t="str">
        <f>IF('[1]p21'!$D$409&lt;&gt;0,'[1]p21'!$D$409," ")</f>
        <v> </v>
      </c>
      <c r="Q74" s="24">
        <f>IF('[1]p21'!$E$409&lt;&gt;0,'[1]p21'!$E$409," ")</f>
        <v>728</v>
      </c>
    </row>
    <row r="75" spans="1:17" s="2" customFormat="1" ht="11.25">
      <c r="A75" s="479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</row>
    <row r="76" spans="1:17" s="34" customFormat="1" ht="11.25">
      <c r="A76" s="382" t="str">
        <f>T('[1]p22'!$C$13:$G$13)</f>
        <v>José Lindomberg Possiano Barreiro</v>
      </c>
      <c r="B76" s="381"/>
      <c r="C76" s="381"/>
      <c r="D76" s="381"/>
      <c r="E76" s="384"/>
      <c r="F76" s="484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</row>
    <row r="77" spans="1:17" s="2" customFormat="1" ht="11.25">
      <c r="A77" s="43">
        <f>IF('[1]p22'!$A$406&lt;&gt;0,'[1]p22'!$A$406,"")</f>
      </c>
      <c r="B77" s="43">
        <f>IF('[1]p22'!$B$406&lt;&gt;0,'[1]p22'!$B$406,"")</f>
      </c>
      <c r="C77" s="43">
        <f>IF('[1]p22'!$C$406&lt;&gt;0,'[1]p22'!$C$406,"")</f>
      </c>
      <c r="D77" s="43">
        <f>IF('[1]p22'!$D$406&lt;&gt;0,'[1]p22'!$D$406,"")</f>
        <v>180</v>
      </c>
      <c r="E77" s="43">
        <f>IF('[1]p22'!$E$406&lt;&gt;0,'[1]p22'!$E$406,"")</f>
      </c>
      <c r="F77" s="24">
        <f>IF('[1]p22'!$F$406&lt;&gt;0,'[1]p22'!$F$406,"")</f>
        <v>315</v>
      </c>
      <c r="G77" s="24">
        <f>IF('[1]p22'!$G$406&lt;&gt;0,'[1]p22'!$G$406,"")</f>
        <v>90</v>
      </c>
      <c r="H77" s="24">
        <f>IF('[1]p22'!$H$406&lt;&gt;0,'[1]p22'!$H$406,"")</f>
      </c>
      <c r="I77" s="24">
        <f>IF('[1]p22'!$I$406&lt;&gt;0,'[1]p22'!$I$406,"")</f>
      </c>
      <c r="J77" s="24">
        <f>IF('[1]p22'!$J$406&lt;&gt;0,'[1]p22'!$J$406,"")</f>
        <v>60</v>
      </c>
      <c r="K77" s="24">
        <f>IF('[1]p22'!$K$406&lt;&gt;0,'[1]p22'!$K$406,"")</f>
        <v>10</v>
      </c>
      <c r="L77" s="24">
        <f>IF('[1]p22'!$L$406&lt;&gt;0,'[1]p22'!$L$406,"")</f>
      </c>
      <c r="M77" s="24" t="str">
        <f>IF('[1]p22'!$A$409&lt;&gt;0,'[1]p22'!$A$409," ")</f>
        <v> </v>
      </c>
      <c r="N77" s="24" t="str">
        <f>IF('[1]p22'!$B$409&lt;&gt;0,'[1]p22'!$B$409," ")</f>
        <v> </v>
      </c>
      <c r="O77" s="24">
        <f>IF('[1]p22'!$C$409&lt;&gt;0,'[1]p22'!$C$409," ")</f>
        <v>20</v>
      </c>
      <c r="P77" s="24">
        <f>IF('[1]p22'!$D$409&lt;&gt;0,'[1]p22'!$D$409," ")</f>
        <v>40</v>
      </c>
      <c r="Q77" s="24">
        <f>IF('[1]p22'!$E$409&lt;&gt;0,'[1]p22'!$E$409," ")</f>
        <v>715</v>
      </c>
    </row>
    <row r="78" spans="1:17" s="2" customFormat="1" ht="11.25">
      <c r="A78" s="479"/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</row>
    <row r="79" spans="1:17" s="34" customFormat="1" ht="11.25">
      <c r="A79" s="382" t="str">
        <f>T('[1]p23'!$C$13:$G$13)</f>
        <v>José Luiz Neto</v>
      </c>
      <c r="B79" s="381"/>
      <c r="C79" s="381"/>
      <c r="D79" s="381"/>
      <c r="E79" s="384"/>
      <c r="F79" s="484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</row>
    <row r="80" spans="1:17" s="2" customFormat="1" ht="11.25">
      <c r="A80" s="24">
        <f>IF('[1]p23'!$A$406&lt;&gt;0,'[1]p23'!$A$406,"")</f>
      </c>
      <c r="B80" s="24">
        <f>IF('[1]p23'!$B$406&lt;&gt;0,'[1]p23'!$B$406,"")</f>
      </c>
      <c r="C80" s="24">
        <f>IF('[1]p23'!$C$406&lt;&gt;0,'[1]p23'!$C$406,"")</f>
      </c>
      <c r="D80" s="24">
        <f>IF('[1]p23'!$D$406&lt;&gt;0,'[1]p23'!$D$406,"")</f>
        <v>180</v>
      </c>
      <c r="E80" s="24">
        <f>IF('[1]p23'!$E$406&lt;&gt;0,'[1]p23'!$E$406,"")</f>
      </c>
      <c r="F80" s="24">
        <f>IF('[1]p23'!$F$406&lt;&gt;0,'[1]p23'!$F$406,"")</f>
        <v>360</v>
      </c>
      <c r="G80" s="24">
        <f>IF('[1]p23'!$G$406&lt;&gt;0,'[1]p23'!$G$406,"")</f>
        <v>80</v>
      </c>
      <c r="H80" s="24">
        <f>IF('[1]p23'!$H$406&lt;&gt;0,'[1]p23'!$H$406,"")</f>
      </c>
      <c r="I80" s="24">
        <f>IF('[1]p23'!$I$406&lt;&gt;0,'[1]p23'!$I$406,"")</f>
      </c>
      <c r="J80" s="24">
        <f>IF('[1]p23'!$J$406&lt;&gt;0,'[1]p23'!$J$406,"")</f>
      </c>
      <c r="K80" s="24">
        <f>IF('[1]p23'!$K$406&lt;&gt;0,'[1]p23'!$K$406,"")</f>
      </c>
      <c r="L80" s="24">
        <f>IF('[1]p23'!$L$406&lt;&gt;0,'[1]p23'!$L$406,"")</f>
      </c>
      <c r="M80" s="24" t="str">
        <f>IF('[1]p23'!$A$409&lt;&gt;0,'[1]p23'!$A$409," ")</f>
        <v> </v>
      </c>
      <c r="N80" s="24">
        <f>IF('[1]p23'!$B$409&lt;&gt;0,'[1]p23'!$B$409," ")</f>
        <v>116</v>
      </c>
      <c r="O80" s="24">
        <f>IF('[1]p23'!$C$409&lt;&gt;0,'[1]p23'!$C$409," ")</f>
        <v>4</v>
      </c>
      <c r="P80" s="24">
        <f>IF('[1]p23'!$D$409&lt;&gt;0,'[1]p23'!$D$409," ")</f>
        <v>12</v>
      </c>
      <c r="Q80" s="24">
        <f>IF('[1]p23'!$E$409&lt;&gt;0,'[1]p23'!$E$409," ")</f>
        <v>752</v>
      </c>
    </row>
    <row r="81" spans="1:17" s="2" customFormat="1" ht="11.25">
      <c r="A81" s="480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</row>
    <row r="82" spans="1:17" s="1" customFormat="1" ht="12.75">
      <c r="A82" s="5" t="s">
        <v>31</v>
      </c>
      <c r="B82" s="6" t="s">
        <v>32</v>
      </c>
      <c r="C82" s="6" t="s">
        <v>33</v>
      </c>
      <c r="D82" s="6" t="s">
        <v>34</v>
      </c>
      <c r="E82" s="6" t="s">
        <v>35</v>
      </c>
      <c r="F82" s="6" t="s">
        <v>23</v>
      </c>
      <c r="G82" s="6" t="s">
        <v>36</v>
      </c>
      <c r="H82" s="6" t="s">
        <v>37</v>
      </c>
      <c r="I82" s="6" t="s">
        <v>38</v>
      </c>
      <c r="J82" s="6" t="s">
        <v>39</v>
      </c>
      <c r="K82" s="6" t="s">
        <v>40</v>
      </c>
      <c r="L82" s="6" t="s">
        <v>41</v>
      </c>
      <c r="M82" s="5" t="s">
        <v>42</v>
      </c>
      <c r="N82" s="6" t="s">
        <v>43</v>
      </c>
      <c r="O82" s="6" t="s">
        <v>44</v>
      </c>
      <c r="P82" s="6" t="s">
        <v>45</v>
      </c>
      <c r="Q82" s="6" t="s">
        <v>20</v>
      </c>
    </row>
    <row r="83" spans="1:17" s="2" customFormat="1" ht="11.25">
      <c r="A83" s="479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</row>
    <row r="84" spans="1:17" s="34" customFormat="1" ht="11.25">
      <c r="A84" s="382" t="str">
        <f>T('[1]p24'!$C$13:$G$13)</f>
        <v>Luiz Mendes Albuquerque Neto</v>
      </c>
      <c r="B84" s="381"/>
      <c r="C84" s="381"/>
      <c r="D84" s="381"/>
      <c r="E84" s="384"/>
      <c r="F84" s="484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</row>
    <row r="85" spans="1:17" s="2" customFormat="1" ht="10.5" customHeight="1">
      <c r="A85" s="43">
        <f>IF('[1]p24'!$A$406&lt;&gt;0,'[1]p24'!$A$406,"")</f>
      </c>
      <c r="B85" s="43">
        <f>IF('[1]p24'!$B$406&lt;&gt;0,'[1]p24'!$B$406,"")</f>
      </c>
      <c r="C85" s="43">
        <f>IF('[1]p24'!$C$406&lt;&gt;0,'[1]p24'!$C$406,"")</f>
        <v>42</v>
      </c>
      <c r="D85" s="43">
        <f>IF('[1]p24'!$D$406&lt;&gt;0,'[1]p24'!$D$406,"")</f>
        <v>180</v>
      </c>
      <c r="E85" s="43">
        <f>IF('[1]p24'!$E$406&lt;&gt;0,'[1]p24'!$E$406,"")</f>
      </c>
      <c r="F85" s="24">
        <f>IF('[1]p24'!$F$406&lt;&gt;0,'[1]p24'!$F$406,"")</f>
        <v>480</v>
      </c>
      <c r="G85" s="24">
        <f>IF('[1]p24'!$G$406&lt;&gt;0,'[1]p24'!$G$406,"")</f>
      </c>
      <c r="H85" s="24">
        <f>IF('[1]p24'!$H$406&lt;&gt;0,'[1]p24'!$H$406,"")</f>
      </c>
      <c r="I85" s="24">
        <f>IF('[1]p24'!$I$406&lt;&gt;0,'[1]p24'!$I$406,"")</f>
      </c>
      <c r="J85" s="24">
        <f>IF('[1]p24'!$J$406&lt;&gt;0,'[1]p24'!$J$406,"")</f>
      </c>
      <c r="K85" s="24">
        <f>IF('[1]p24'!$K$406&lt;&gt;0,'[1]p24'!$K$406,"")</f>
      </c>
      <c r="L85" s="24">
        <f>IF('[1]p24'!$L$406&lt;&gt;0,'[1]p24'!$L$406,"")</f>
      </c>
      <c r="M85" s="24" t="str">
        <f>IF('[1]p24'!$A$409&lt;&gt;0,'[1]p24'!$A$409," ")</f>
        <v> </v>
      </c>
      <c r="N85" s="24" t="str">
        <f>IF('[1]p24'!$B$409&lt;&gt;0,'[1]p24'!$B$409," ")</f>
        <v> </v>
      </c>
      <c r="O85" s="24" t="str">
        <f>IF('[1]p24'!$C$409&lt;&gt;0,'[1]p24'!$C$409," ")</f>
        <v> </v>
      </c>
      <c r="P85" s="24">
        <f>IF('[1]p24'!$D$409&lt;&gt;0,'[1]p24'!$D$409," ")</f>
        <v>16</v>
      </c>
      <c r="Q85" s="24">
        <f>IF('[1]p24'!$E$409&lt;&gt;0,'[1]p24'!$E$409," ")</f>
        <v>718</v>
      </c>
    </row>
    <row r="86" spans="1:17" s="2" customFormat="1" ht="12" customHeight="1">
      <c r="A86" s="479"/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</row>
    <row r="87" spans="1:17" s="34" customFormat="1" ht="11.25">
      <c r="A87" s="382" t="str">
        <f>T('[1]p25'!$C$13:$G$13)</f>
        <v>Marcelo Carvalho Ferreira</v>
      </c>
      <c r="B87" s="381"/>
      <c r="C87" s="381"/>
      <c r="D87" s="381"/>
      <c r="E87" s="384"/>
      <c r="F87" s="484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</row>
    <row r="88" spans="1:17" s="2" customFormat="1" ht="11.25">
      <c r="A88" s="43">
        <f>IF('[1]p25'!$A$406&lt;&gt;0,'[1]p25'!$A$406,"")</f>
      </c>
      <c r="B88" s="43">
        <f>IF('[1]p25'!$B$406&lt;&gt;0,'[1]p25'!$B$406,"")</f>
      </c>
      <c r="C88" s="43">
        <f>IF('[1]p25'!$C$406&lt;&gt;0,'[1]p25'!$C$406,"")</f>
        <v>185</v>
      </c>
      <c r="D88" s="43">
        <f>IF('[1]p25'!$D$406&lt;&gt;0,'[1]p25'!$D$406,"")</f>
        <v>180</v>
      </c>
      <c r="E88" s="43">
        <f>IF('[1]p25'!$E$406&lt;&gt;0,'[1]p25'!$E$406,"")</f>
      </c>
      <c r="F88" s="24">
        <f>IF('[1]p25'!$F$406&lt;&gt;0,'[1]p25'!$F$406,"")</f>
        <v>290</v>
      </c>
      <c r="G88" s="24">
        <f>IF('[1]p25'!$G$406&lt;&gt;0,'[1]p25'!$G$406,"")</f>
        <v>90</v>
      </c>
      <c r="H88" s="24">
        <f>IF('[1]p25'!$H$406&lt;&gt;0,'[1]p25'!$H$406,"")</f>
      </c>
      <c r="I88" s="24">
        <f>IF('[1]p25'!$I$406&lt;&gt;0,'[1]p25'!$I$406,"")</f>
      </c>
      <c r="J88" s="24">
        <f>IF('[1]p25'!$J$406&lt;&gt;0,'[1]p25'!$J$406,"")</f>
      </c>
      <c r="K88" s="24">
        <f>IF('[1]p25'!$K$406&lt;&gt;0,'[1]p25'!$K$406,"")</f>
        <v>30</v>
      </c>
      <c r="L88" s="24">
        <f>IF('[1]p25'!$L$406&lt;&gt;0,'[1]p25'!$L$406,"")</f>
      </c>
      <c r="M88" s="24" t="str">
        <f>IF('[1]p25'!$A$409&lt;&gt;0,'[1]p25'!$A$409," ")</f>
        <v> </v>
      </c>
      <c r="N88" s="24" t="str">
        <f>IF('[1]p25'!$B$409&lt;&gt;0,'[1]p25'!$B$409," ")</f>
        <v> </v>
      </c>
      <c r="O88" s="24" t="str">
        <f>IF('[1]p25'!$C$409&lt;&gt;0,'[1]p25'!$C$409," ")</f>
        <v> </v>
      </c>
      <c r="P88" s="24">
        <f>IF('[1]p25'!$D$409&lt;&gt;0,'[1]p25'!$D$409," ")</f>
        <v>26</v>
      </c>
      <c r="Q88" s="24">
        <f>IF('[1]p25'!$E$409&lt;&gt;0,'[1]p25'!$E$409," ")</f>
        <v>801</v>
      </c>
    </row>
    <row r="89" spans="1:17" s="2" customFormat="1" ht="11.25">
      <c r="A89" s="479"/>
      <c r="B89" s="479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</row>
    <row r="90" spans="1:17" s="34" customFormat="1" ht="11.25">
      <c r="A90" s="382" t="str">
        <f>T('[1]p26'!$C$13:$G$13)</f>
        <v>Marco Aurélio Soares Souto</v>
      </c>
      <c r="B90" s="381"/>
      <c r="C90" s="381"/>
      <c r="D90" s="381"/>
      <c r="E90" s="384"/>
      <c r="F90" s="484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</row>
    <row r="91" spans="1:17" s="2" customFormat="1" ht="11.25">
      <c r="A91" s="24">
        <f>IF('[1]p26'!$A$406&lt;&gt;0,'[1]p26'!$A$406,"")</f>
      </c>
      <c r="B91" s="24">
        <f>IF('[1]p26'!$B$406&lt;&gt;0,'[1]p26'!$B$406,"")</f>
      </c>
      <c r="C91" s="24">
        <f>IF('[1]p26'!$C$406&lt;&gt;0,'[1]p26'!$C$406,"")</f>
      </c>
      <c r="D91" s="24">
        <f>IF('[1]p26'!$D$406&lt;&gt;0,'[1]p26'!$D$406,"")</f>
        <v>105</v>
      </c>
      <c r="E91" s="24">
        <f>IF('[1]p26'!$E$406&lt;&gt;0,'[1]p26'!$E$406,"")</f>
      </c>
      <c r="F91" s="24">
        <f>IF('[1]p26'!$F$406&lt;&gt;0,'[1]p26'!$F$406,"")</f>
        <v>105</v>
      </c>
      <c r="G91" s="24">
        <f>IF('[1]p26'!$G$406&lt;&gt;0,'[1]p26'!$G$406,"")</f>
        <v>30</v>
      </c>
      <c r="H91" s="24">
        <f>IF('[1]p26'!$H$406&lt;&gt;0,'[1]p26'!$H$406,"")</f>
        <v>90</v>
      </c>
      <c r="I91" s="24">
        <f>IF('[1]p26'!$I$406&lt;&gt;0,'[1]p26'!$I$406,"")</f>
        <v>60</v>
      </c>
      <c r="J91" s="24">
        <f>IF('[1]p26'!$J$406&lt;&gt;0,'[1]p26'!$J$406,"")</f>
      </c>
      <c r="K91" s="24">
        <f>IF('[1]p26'!$K$406&lt;&gt;0,'[1]p26'!$K$406,"")</f>
      </c>
      <c r="L91" s="24">
        <f>IF('[1]p26'!$L$406&lt;&gt;0,'[1]p26'!$L$406,"")</f>
      </c>
      <c r="M91" s="24">
        <f>IF('[1]p26'!$A$409&lt;&gt;0,'[1]p26'!$A$409," ")</f>
        <v>373</v>
      </c>
      <c r="N91" s="24">
        <f>IF('[1]p26'!$B$409&lt;&gt;0,'[1]p26'!$B$409," ")</f>
        <v>60</v>
      </c>
      <c r="O91" s="24" t="str">
        <f>IF('[1]p26'!$C$409&lt;&gt;0,'[1]p26'!$C$409," ")</f>
        <v> </v>
      </c>
      <c r="P91" s="24">
        <f>IF('[1]p26'!$D$409&lt;&gt;0,'[1]p26'!$D$409," ")</f>
        <v>17</v>
      </c>
      <c r="Q91" s="24">
        <f>IF('[1]p26'!$E$409&lt;&gt;0,'[1]p26'!$E$409," ")</f>
        <v>840</v>
      </c>
    </row>
    <row r="92" spans="1:17" s="2" customFormat="1" ht="11.25">
      <c r="A92" s="479"/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</row>
    <row r="93" spans="1:17" s="34" customFormat="1" ht="11.25">
      <c r="A93" s="382" t="str">
        <f>T('[1]p27'!$C$13:$G$13)</f>
        <v>Marisa de Sales Monteiro</v>
      </c>
      <c r="B93" s="381"/>
      <c r="C93" s="381"/>
      <c r="D93" s="381"/>
      <c r="E93" s="38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s="2" customFormat="1" ht="11.25">
      <c r="A94" s="24">
        <f>IF('[1]p27'!$A$406&lt;&gt;0,'[1]p27'!$A$406,"")</f>
      </c>
      <c r="B94" s="24">
        <f>IF('[1]p27'!$B$406&lt;&gt;0,'[1]p27'!$B$406,"")</f>
      </c>
      <c r="C94" s="24">
        <f>IF('[1]p27'!$C$406&lt;&gt;0,'[1]p27'!$C$406,"")</f>
        <v>120</v>
      </c>
      <c r="D94" s="24">
        <f>IF('[1]p27'!$D$406&lt;&gt;0,'[1]p27'!$D$406,"")</f>
      </c>
      <c r="E94" s="24">
        <f>IF('[1]p27'!$E$406&lt;&gt;0,'[1]p27'!$E$406,"")</f>
      </c>
      <c r="F94" s="24">
        <f>IF('[1]p27'!$F$406&lt;&gt;0,'[1]p27'!$F$406,"")</f>
      </c>
      <c r="G94" s="24">
        <f>IF('[1]p27'!$G$406&lt;&gt;0,'[1]p27'!$G$406,"")</f>
      </c>
      <c r="H94" s="24">
        <f>IF('[1]p27'!$H$406&lt;&gt;0,'[1]p27'!$H$406,"")</f>
      </c>
      <c r="I94" s="24">
        <f>IF('[1]p27'!$I$406&lt;&gt;0,'[1]p27'!$I$406,"")</f>
      </c>
      <c r="J94" s="24">
        <f>IF('[1]p27'!$J$406&lt;&gt;0,'[1]p27'!$J$406,"")</f>
      </c>
      <c r="K94" s="24">
        <f>IF('[1]p27'!$K$406&lt;&gt;0,'[1]p27'!$K$406,"")</f>
      </c>
      <c r="L94" s="24">
        <f>IF('[1]p27'!$L$406&lt;&gt;0,'[1]p27'!$L$406,"")</f>
      </c>
      <c r="M94" s="24" t="str">
        <f>IF('[1]p27'!$A$409&lt;&gt;0,'[1]p27'!$A$409," ")</f>
        <v> </v>
      </c>
      <c r="N94" s="24" t="str">
        <f>IF('[1]p27'!$B$409&lt;&gt;0,'[1]p27'!$B$409," ")</f>
        <v> </v>
      </c>
      <c r="O94" s="24" t="str">
        <f>IF('[1]p27'!$C$409&lt;&gt;0,'[1]p27'!$C$409," ")</f>
        <v> </v>
      </c>
      <c r="P94" s="24" t="str">
        <f>IF('[1]p27'!$D$409&lt;&gt;0,'[1]p27'!$D$409," ")</f>
        <v> </v>
      </c>
      <c r="Q94" s="24">
        <f>IF('[1]p27'!$E$409&lt;&gt;0,'[1]p27'!$E$409," ")</f>
        <v>120</v>
      </c>
    </row>
    <row r="95" spans="1:17" s="2" customFormat="1" ht="11.25">
      <c r="A95" s="479"/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</row>
    <row r="96" spans="1:17" s="34" customFormat="1" ht="11.25">
      <c r="A96" s="382" t="str">
        <f>T('[1]p28'!$C$13:$G$13)</f>
        <v>Michelli Karinne Barros da Silva</v>
      </c>
      <c r="B96" s="381"/>
      <c r="C96" s="381"/>
      <c r="D96" s="381"/>
      <c r="E96" s="384"/>
      <c r="F96" s="484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</row>
    <row r="97" spans="1:17" s="2" customFormat="1" ht="11.25">
      <c r="A97" s="24">
        <f>IF('[1]p28'!$A$406&lt;&gt;0,'[1]p28'!$A$406,"")</f>
      </c>
      <c r="B97" s="24">
        <f>IF('[1]p28'!$B$406&lt;&gt;0,'[1]p28'!$B$406,"")</f>
      </c>
      <c r="C97" s="24">
        <f>IF('[1]p28'!$C$406&lt;&gt;0,'[1]p28'!$C$406,"")</f>
      </c>
      <c r="D97" s="24">
        <f>IF('[1]p28'!$D$406&lt;&gt;0,'[1]p28'!$D$406,"")</f>
        <v>180</v>
      </c>
      <c r="E97" s="24">
        <f>IF('[1]p28'!$E$406&lt;&gt;0,'[1]p28'!$E$406,"")</f>
      </c>
      <c r="F97" s="24">
        <f>IF('[1]p28'!$F$406&lt;&gt;0,'[1]p28'!$F$406,"")</f>
        <v>210</v>
      </c>
      <c r="G97" s="24">
        <f>IF('[1]p28'!$G$406&lt;&gt;0,'[1]p28'!$G$406,"")</f>
        <v>46</v>
      </c>
      <c r="H97" s="24">
        <f>IF('[1]p28'!$H$406&lt;&gt;0,'[1]p28'!$H$406,"")</f>
        <v>150</v>
      </c>
      <c r="I97" s="24">
        <f>IF('[1]p28'!$I$406&lt;&gt;0,'[1]p28'!$I$406,"")</f>
        <v>120</v>
      </c>
      <c r="J97" s="24">
        <f>IF('[1]p28'!$J$406&lt;&gt;0,'[1]p28'!$J$406,"")</f>
      </c>
      <c r="K97" s="24">
        <f>IF('[1]p28'!$K$406&lt;&gt;0,'[1]p28'!$K$406,"")</f>
      </c>
      <c r="L97" s="24">
        <f>IF('[1]p28'!$L$406&lt;&gt;0,'[1]p28'!$L$406,"")</f>
        <v>84</v>
      </c>
      <c r="M97" s="24" t="str">
        <f>IF('[1]p28'!$A$409&lt;&gt;0,'[1]p28'!$A$409," ")</f>
        <v> </v>
      </c>
      <c r="N97" s="24" t="str">
        <f>IF('[1]p28'!$B$409&lt;&gt;0,'[1]p28'!$B$409," ")</f>
        <v> </v>
      </c>
      <c r="O97" s="24" t="str">
        <f>IF('[1]p28'!$C$409&lt;&gt;0,'[1]p28'!$C$409," ")</f>
        <v> </v>
      </c>
      <c r="P97" s="24">
        <f>IF('[1]p28'!$D$409&lt;&gt;0,'[1]p28'!$D$409," ")</f>
        <v>22</v>
      </c>
      <c r="Q97" s="24">
        <f>IF('[1]p28'!$E$409&lt;&gt;0,'[1]p28'!$E$409," ")</f>
        <v>812</v>
      </c>
    </row>
    <row r="98" spans="1:17" s="2" customFormat="1" ht="11.25">
      <c r="A98" s="479"/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</row>
    <row r="99" spans="1:17" s="34" customFormat="1" ht="11.25">
      <c r="A99" s="382" t="str">
        <f>T('[1]p29'!$C$13:$G$13)</f>
        <v>Miriam Costa</v>
      </c>
      <c r="B99" s="381"/>
      <c r="C99" s="381"/>
      <c r="D99" s="381"/>
      <c r="E99" s="384"/>
      <c r="F99" s="484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</row>
    <row r="100" spans="1:17" s="2" customFormat="1" ht="11.25">
      <c r="A100" s="43">
        <f>IF('[1]p29'!$A$406&lt;&gt;0,'[1]p29'!$A$406,"")</f>
      </c>
      <c r="B100" s="43">
        <f>IF('[1]p29'!$B$406&lt;&gt;0,'[1]p29'!$B$406,"")</f>
        <v>120</v>
      </c>
      <c r="C100" s="43">
        <f>IF('[1]p29'!$C$406&lt;&gt;0,'[1]p29'!$C$406,"")</f>
      </c>
      <c r="D100" s="43">
        <f>IF('[1]p29'!$D$406&lt;&gt;0,'[1]p29'!$D$406,"")</f>
        <v>180</v>
      </c>
      <c r="E100" s="43">
        <f>IF('[1]p29'!$E$406&lt;&gt;0,'[1]p29'!$E$406,"")</f>
      </c>
      <c r="F100" s="24">
        <f>IF('[1]p29'!$F$406&lt;&gt;0,'[1]p29'!$F$406,"")</f>
        <v>360</v>
      </c>
      <c r="G100" s="24">
        <f>IF('[1]p29'!$G$406&lt;&gt;0,'[1]p29'!$G$406,"")</f>
        <v>80</v>
      </c>
      <c r="H100" s="24">
        <f>IF('[1]p29'!$H$406&lt;&gt;0,'[1]p29'!$H$406,"")</f>
      </c>
      <c r="I100" s="24">
        <f>IF('[1]p29'!$I$406&lt;&gt;0,'[1]p29'!$I$406,"")</f>
      </c>
      <c r="J100" s="24">
        <f>IF('[1]p29'!$J$406&lt;&gt;0,'[1]p29'!$J$406,"")</f>
      </c>
      <c r="K100" s="24">
        <f>IF('[1]p29'!$K$406&lt;&gt;0,'[1]p29'!$K$406,"")</f>
      </c>
      <c r="L100" s="24">
        <f>IF('[1]p29'!$L$406&lt;&gt;0,'[1]p29'!$L$406,"")</f>
        <v>10</v>
      </c>
      <c r="M100" s="24" t="str">
        <f>IF('[1]p29'!$A$409&lt;&gt;0,'[1]p29'!$A$409," ")</f>
        <v> </v>
      </c>
      <c r="N100" s="24">
        <f>IF('[1]p29'!$B$409&lt;&gt;0,'[1]p29'!$B$409," ")</f>
        <v>30</v>
      </c>
      <c r="O100" s="24">
        <f>IF('[1]p29'!$C$409&lt;&gt;0,'[1]p29'!$C$409," ")</f>
        <v>20</v>
      </c>
      <c r="P100" s="24" t="str">
        <f>IF('[1]p29'!$D$409&lt;&gt;0,'[1]p29'!$D$409," ")</f>
        <v> </v>
      </c>
      <c r="Q100" s="24">
        <f>IF('[1]p29'!$E$409&lt;&gt;0,'[1]p29'!$E$409," ")</f>
        <v>800</v>
      </c>
    </row>
    <row r="101" spans="1:17" s="2" customFormat="1" ht="11.25">
      <c r="A101" s="479"/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</row>
    <row r="102" spans="1:17" s="34" customFormat="1" ht="11.25">
      <c r="A102" s="382" t="str">
        <f>T('[1]p30'!$C$13:$G$13)</f>
        <v>Patrícia Batista Leal</v>
      </c>
      <c r="B102" s="381"/>
      <c r="C102" s="381"/>
      <c r="D102" s="381"/>
      <c r="E102" s="384"/>
      <c r="F102" s="484"/>
      <c r="G102" s="485"/>
      <c r="H102" s="485"/>
      <c r="I102" s="485"/>
      <c r="J102" s="485"/>
      <c r="K102" s="485"/>
      <c r="L102" s="485"/>
      <c r="M102" s="485"/>
      <c r="N102" s="485"/>
      <c r="O102" s="485"/>
      <c r="P102" s="485"/>
      <c r="Q102" s="485"/>
    </row>
    <row r="103" spans="1:17" s="2" customFormat="1" ht="11.25">
      <c r="A103" s="43">
        <f>IF('[1]p30'!$A$406&lt;&gt;0,'[1]p30'!$A$406,"")</f>
      </c>
      <c r="B103" s="43">
        <f>IF('[1]p30'!$B$406&lt;&gt;0,'[1]p30'!$B$406,"")</f>
      </c>
      <c r="C103" s="43">
        <f>IF('[1]p30'!$C$406&lt;&gt;0,'[1]p30'!$C$406,"")</f>
        <v>100</v>
      </c>
      <c r="D103" s="43">
        <f>IF('[1]p30'!$D$406&lt;&gt;0,'[1]p30'!$D$406,"")</f>
        <v>180</v>
      </c>
      <c r="E103" s="43">
        <f>IF('[1]p30'!$E$406&lt;&gt;0,'[1]p30'!$E$406,"")</f>
      </c>
      <c r="F103" s="24">
        <f>IF('[1]p30'!$F$406&lt;&gt;0,'[1]p30'!$F$406,"")</f>
        <v>360</v>
      </c>
      <c r="G103" s="24">
        <f>IF('[1]p30'!$G$406&lt;&gt;0,'[1]p30'!$G$406,"")</f>
        <v>44</v>
      </c>
      <c r="H103" s="24">
        <f>IF('[1]p30'!$H$406&lt;&gt;0,'[1]p30'!$H$406,"")</f>
      </c>
      <c r="I103" s="24">
        <f>IF('[1]p30'!$I$406&lt;&gt;0,'[1]p30'!$I$406,"")</f>
      </c>
      <c r="J103" s="24">
        <f>IF('[1]p30'!$J$406&lt;&gt;0,'[1]p30'!$J$406,"")</f>
      </c>
      <c r="K103" s="24">
        <f>IF('[1]p30'!$K$406&lt;&gt;0,'[1]p30'!$K$406,"")</f>
        <v>40</v>
      </c>
      <c r="L103" s="24">
        <f>IF('[1]p30'!$L$406&lt;&gt;0,'[1]p30'!$L$406,"")</f>
        <v>12</v>
      </c>
      <c r="M103" s="24" t="str">
        <f>IF('[1]p30'!$A$409&lt;&gt;0,'[1]p30'!$A$409," ")</f>
        <v> </v>
      </c>
      <c r="N103" s="24">
        <f>IF('[1]p30'!$B$409&lt;&gt;0,'[1]p30'!$B$409," ")</f>
        <v>80</v>
      </c>
      <c r="O103" s="24" t="str">
        <f>IF('[1]p30'!$C$409&lt;&gt;0,'[1]p30'!$C$409," ")</f>
        <v> </v>
      </c>
      <c r="P103" s="24">
        <f>IF('[1]p30'!$D$409&lt;&gt;0,'[1]p30'!$D$409," ")</f>
        <v>20</v>
      </c>
      <c r="Q103" s="24">
        <f>IF('[1]p30'!$E$409&lt;&gt;0,'[1]p30'!$E$409," ")</f>
        <v>836</v>
      </c>
    </row>
    <row r="104" spans="1:17" s="2" customFormat="1" ht="11.25">
      <c r="A104" s="479"/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</row>
    <row r="105" spans="1:17" s="34" customFormat="1" ht="11.25">
      <c r="A105" s="382" t="str">
        <f>T('[1]p31'!$C$13:$G$13)</f>
        <v>Rosana Marques da Silva</v>
      </c>
      <c r="B105" s="381"/>
      <c r="C105" s="381"/>
      <c r="D105" s="381"/>
      <c r="E105" s="384"/>
      <c r="F105" s="484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</row>
    <row r="106" spans="1:17" s="2" customFormat="1" ht="11.25">
      <c r="A106" s="43">
        <f>IF('[1]p31'!$A$406&lt;&gt;0,'[1]p31'!$A$406,"")</f>
      </c>
      <c r="B106" s="43">
        <f>IF('[1]p31'!$B$406&lt;&gt;0,'[1]p31'!$B$406,"")</f>
      </c>
      <c r="C106" s="43">
        <f>IF('[1]p31'!$C$406&lt;&gt;0,'[1]p31'!$C$406,"")</f>
      </c>
      <c r="D106" s="43">
        <f>IF('[1]p31'!$D$406&lt;&gt;0,'[1]p31'!$D$406,"")</f>
        <v>120</v>
      </c>
      <c r="E106" s="43">
        <f>IF('[1]p31'!$E$406&lt;&gt;0,'[1]p31'!$E$406,"")</f>
      </c>
      <c r="F106" s="24">
        <f>IF('[1]p31'!$F$406&lt;&gt;0,'[1]p31'!$F$406,"")</f>
        <v>120</v>
      </c>
      <c r="G106" s="24">
        <f>IF('[1]p31'!$G$406&lt;&gt;0,'[1]p31'!$G$406,"")</f>
        <v>90</v>
      </c>
      <c r="H106" s="24">
        <f>IF('[1]p31'!$H$406&lt;&gt;0,'[1]p31'!$H$406,"")</f>
      </c>
      <c r="I106" s="24">
        <f>IF('[1]p31'!$I$406&lt;&gt;0,'[1]p31'!$I$406,"")</f>
        <v>30</v>
      </c>
      <c r="J106" s="24">
        <f>IF('[1]p31'!$J$406&lt;&gt;0,'[1]p31'!$J$406,"")</f>
      </c>
      <c r="K106" s="24">
        <f>IF('[1]p31'!$K$406&lt;&gt;0,'[1]p31'!$K$406,"")</f>
        <v>20</v>
      </c>
      <c r="L106" s="24">
        <f>IF('[1]p31'!$L$406&lt;&gt;0,'[1]p31'!$L$406,"")</f>
      </c>
      <c r="M106" s="24">
        <f>IF('[1]p31'!$A$409&lt;&gt;0,'[1]p31'!$A$409," ")</f>
        <v>400</v>
      </c>
      <c r="N106" s="24">
        <f>IF('[1]p31'!$B$409&lt;&gt;0,'[1]p31'!$B$409," ")</f>
        <v>30</v>
      </c>
      <c r="O106" s="24">
        <f>IF('[1]p31'!$C$409&lt;&gt;0,'[1]p31'!$C$409," ")</f>
        <v>30</v>
      </c>
      <c r="P106" s="24" t="str">
        <f>IF('[1]p31'!$D$409&lt;&gt;0,'[1]p31'!$D$409," ")</f>
        <v> </v>
      </c>
      <c r="Q106" s="24">
        <f>IF('[1]p31'!$E$409&lt;&gt;0,'[1]p31'!$E$409," ")</f>
        <v>840</v>
      </c>
    </row>
    <row r="107" spans="1:17" s="2" customFormat="1" ht="11.25">
      <c r="A107" s="479"/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</row>
    <row r="108" spans="1:17" s="34" customFormat="1" ht="11.25">
      <c r="A108" s="382" t="str">
        <f>T('[1]p32'!$C$13:$G$13)</f>
        <v>Rosângela Silveira do Nascimento</v>
      </c>
      <c r="B108" s="381"/>
      <c r="C108" s="381"/>
      <c r="D108" s="381"/>
      <c r="E108" s="384"/>
      <c r="F108" s="484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</row>
    <row r="109" spans="1:17" s="2" customFormat="1" ht="11.25">
      <c r="A109" s="43">
        <f>IF('[1]p32'!$A$406&lt;&gt;0,'[1]p32'!$A$406,"")</f>
      </c>
      <c r="B109" s="43">
        <f>IF('[1]p32'!$B$406&lt;&gt;0,'[1]p32'!$B$406,"")</f>
      </c>
      <c r="C109" s="43">
        <f>IF('[1]p32'!$C$406&lt;&gt;0,'[1]p32'!$C$406,"")</f>
        <v>35</v>
      </c>
      <c r="D109" s="43">
        <f>IF('[1]p32'!$D$406&lt;&gt;0,'[1]p32'!$D$406,"")</f>
        <v>180</v>
      </c>
      <c r="E109" s="43">
        <f>IF('[1]p32'!$E$406&lt;&gt;0,'[1]p32'!$E$406,"")</f>
      </c>
      <c r="F109" s="24">
        <f>IF('[1]p32'!$F$406&lt;&gt;0,'[1]p32'!$F$406,"")</f>
        <v>360</v>
      </c>
      <c r="G109" s="24">
        <f>IF('[1]p32'!$G$406&lt;&gt;0,'[1]p32'!$G$406,"")</f>
      </c>
      <c r="H109" s="24">
        <f>IF('[1]p32'!$H$406&lt;&gt;0,'[1]p32'!$H$406,"")</f>
      </c>
      <c r="I109" s="24">
        <f>IF('[1]p32'!$I$406&lt;&gt;0,'[1]p32'!$I$406,"")</f>
        <v>100</v>
      </c>
      <c r="J109" s="24">
        <f>IF('[1]p32'!$J$406&lt;&gt;0,'[1]p32'!$J$406,"")</f>
      </c>
      <c r="K109" s="24">
        <f>IF('[1]p32'!$K$406&lt;&gt;0,'[1]p32'!$K$406,"")</f>
      </c>
      <c r="L109" s="24">
        <f>IF('[1]p32'!$L$406&lt;&gt;0,'[1]p32'!$L$406,"")</f>
      </c>
      <c r="M109" s="24" t="str">
        <f>IF('[1]p32'!$A$409&lt;&gt;0,'[1]p32'!$A$409," ")</f>
        <v> </v>
      </c>
      <c r="N109" s="24">
        <f>IF('[1]p32'!$B$409&lt;&gt;0,'[1]p32'!$B$409," ")</f>
        <v>18</v>
      </c>
      <c r="O109" s="24">
        <f>IF('[1]p32'!$C$409&lt;&gt;0,'[1]p32'!$C$409," ")</f>
        <v>12</v>
      </c>
      <c r="P109" s="24">
        <f>IF('[1]p32'!$D$409&lt;&gt;0,'[1]p32'!$D$409," ")</f>
        <v>104</v>
      </c>
      <c r="Q109" s="24">
        <f>IF('[1]p32'!$E$409&lt;&gt;0,'[1]p32'!$E$409," ")</f>
        <v>809</v>
      </c>
    </row>
    <row r="110" spans="1:17" s="2" customFormat="1" ht="11.25">
      <c r="A110" s="479"/>
      <c r="B110" s="479"/>
      <c r="C110" s="479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</row>
    <row r="111" spans="1:17" s="2" customFormat="1" ht="11.25">
      <c r="A111" s="382" t="str">
        <f>T('[1]p33'!$C$13:$G$13)</f>
        <v>Sérgio Mota Alves</v>
      </c>
      <c r="B111" s="381"/>
      <c r="C111" s="381"/>
      <c r="D111" s="381"/>
      <c r="E111" s="384"/>
      <c r="F111" s="484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</row>
    <row r="112" spans="1:17" s="2" customFormat="1" ht="11.25">
      <c r="A112" s="43">
        <f>IF('[1]p33'!$A$406&lt;&gt;0,'[1]p33'!$A$406,"")</f>
      </c>
      <c r="B112" s="43">
        <f>IF('[1]p33'!$B$406&lt;&gt;0,'[1]p33'!$B$406,"")</f>
      </c>
      <c r="C112" s="43">
        <f>IF('[1]p33'!$C$406&lt;&gt;0,'[1]p33'!$C$406,"")</f>
        <v>30</v>
      </c>
      <c r="D112" s="43">
        <f>IF('[1]p33'!$D$406&lt;&gt;0,'[1]p33'!$D$406,"")</f>
        <v>120</v>
      </c>
      <c r="E112" s="43">
        <f>IF('[1]p33'!$E$406&lt;&gt;0,'[1]p33'!$E$406,"")</f>
        <v>150</v>
      </c>
      <c r="F112" s="24">
        <f>IF('[1]p33'!$F$406&lt;&gt;0,'[1]p33'!$F$406,"")</f>
        <v>270</v>
      </c>
      <c r="G112" s="24">
        <f>IF('[1]p33'!$G$406&lt;&gt;0,'[1]p33'!$G$406,"")</f>
        <v>60</v>
      </c>
      <c r="H112" s="24">
        <f>IF('[1]p33'!$H$406&lt;&gt;0,'[1]p33'!$H$406,"")</f>
        <v>90</v>
      </c>
      <c r="I112" s="24">
        <f>IF('[1]p33'!$I$406&lt;&gt;0,'[1]p33'!$I$406,"")</f>
        <v>40</v>
      </c>
      <c r="J112" s="24">
        <f>IF('[1]p33'!$J$406&lt;&gt;0,'[1]p33'!$J$406,"")</f>
      </c>
      <c r="K112" s="24">
        <f>IF('[1]p33'!$K$406&lt;&gt;0,'[1]p33'!$K$406,"")</f>
      </c>
      <c r="L112" s="24">
        <f>IF('[1]p33'!$L$406&lt;&gt;0,'[1]p33'!$L$406,"")</f>
      </c>
      <c r="M112" s="24" t="str">
        <f>IF('[1]p33'!$A$409&lt;&gt;0,'[1]p33'!$A$409," ")</f>
        <v> </v>
      </c>
      <c r="N112" s="24" t="str">
        <f>IF('[1]p33'!$B$409&lt;&gt;0,'[1]p33'!$B$409," ")</f>
        <v> </v>
      </c>
      <c r="O112" s="24">
        <f>IF('[1]p33'!$C$409&lt;&gt;0,'[1]p33'!$C$409," ")</f>
        <v>4</v>
      </c>
      <c r="P112" s="24">
        <f>IF('[1]p33'!$D$409&lt;&gt;0,'[1]p33'!$D$409," ")</f>
        <v>16</v>
      </c>
      <c r="Q112" s="24">
        <f>IF('[1]p33'!$E$409&lt;&gt;0,'[1]p33'!$E$409," ")</f>
        <v>780</v>
      </c>
    </row>
    <row r="113" spans="1:17" s="2" customFormat="1" ht="11.25">
      <c r="A113" s="479"/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</row>
    <row r="114" spans="1:17" s="2" customFormat="1" ht="11.25">
      <c r="A114" s="382" t="str">
        <f>T('[1]p34'!$C$13:$G$13)</f>
        <v>Vandik Estevam Barbosa</v>
      </c>
      <c r="B114" s="381"/>
      <c r="C114" s="381"/>
      <c r="D114" s="381"/>
      <c r="E114" s="384"/>
      <c r="F114" s="484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</row>
    <row r="115" spans="1:17" s="2" customFormat="1" ht="11.25">
      <c r="A115" s="43">
        <f>IF('[1]p34'!$A$406&lt;&gt;0,'[1]p34'!$A$406,"")</f>
      </c>
      <c r="B115" s="43">
        <f>IF('[1]p34'!$B$406&lt;&gt;0,'[1]p34'!$B$406,"")</f>
      </c>
      <c r="C115" s="43">
        <f>IF('[1]p34'!$C$406&lt;&gt;0,'[1]p34'!$C$406,"")</f>
      </c>
      <c r="D115" s="43">
        <f>IF('[1]p34'!$D$406&lt;&gt;0,'[1]p34'!$D$406,"")</f>
        <v>180</v>
      </c>
      <c r="E115" s="43">
        <f>IF('[1]p34'!$E$406&lt;&gt;0,'[1]p34'!$E$406,"")</f>
      </c>
      <c r="F115" s="24">
        <f>IF('[1]p34'!$F$406&lt;&gt;0,'[1]p34'!$F$406,"")</f>
        <v>270</v>
      </c>
      <c r="G115" s="24">
        <f>IF('[1]p34'!$G$406&lt;&gt;0,'[1]p34'!$G$406,"")</f>
        <v>80</v>
      </c>
      <c r="H115" s="24">
        <f>IF('[1]p34'!$H$406&lt;&gt;0,'[1]p34'!$H$406,"")</f>
      </c>
      <c r="I115" s="24">
        <f>IF('[1]p34'!$I$406&lt;&gt;0,'[1]p34'!$I$406,"")</f>
      </c>
      <c r="J115" s="24">
        <f>IF('[1]p34'!$J$406&lt;&gt;0,'[1]p34'!$J$406,"")</f>
        <v>110</v>
      </c>
      <c r="K115" s="24">
        <f>IF('[1]p34'!$K$406&lt;&gt;0,'[1]p34'!$K$406,"")</f>
      </c>
      <c r="L115" s="24">
        <f>IF('[1]p34'!$L$406&lt;&gt;0,'[1]p34'!$L$406,"")</f>
      </c>
      <c r="M115" s="24" t="str">
        <f>IF('[1]p34'!$A$409&lt;&gt;0,'[1]p34'!$A$409," ")</f>
        <v> </v>
      </c>
      <c r="N115" s="24">
        <f>IF('[1]p34'!$B$409&lt;&gt;0,'[1]p34'!$B$409," ")</f>
        <v>40</v>
      </c>
      <c r="O115" s="24">
        <f>IF('[1]p34'!$C$409&lt;&gt;0,'[1]p34'!$C$409," ")</f>
        <v>16</v>
      </c>
      <c r="P115" s="24">
        <f>IF('[1]p34'!$D$409&lt;&gt;0,'[1]p34'!$D$409," ")</f>
        <v>68</v>
      </c>
      <c r="Q115" s="24">
        <f>IF('[1]p34'!$E$409&lt;&gt;0,'[1]p34'!$E$409," ")</f>
        <v>764</v>
      </c>
    </row>
    <row r="116" spans="1:17" s="2" customFormat="1" ht="11.25">
      <c r="A116" s="479"/>
      <c r="B116" s="479"/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</row>
    <row r="117" spans="1:17" s="2" customFormat="1" ht="11.25">
      <c r="A117" s="382" t="str">
        <f>T('[1]p35'!$C$13:$G$13)</f>
        <v>Vanio Fragoso de Melo</v>
      </c>
      <c r="B117" s="381"/>
      <c r="C117" s="381"/>
      <c r="D117" s="381"/>
      <c r="E117" s="384"/>
      <c r="F117" s="484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</row>
    <row r="118" spans="1:17" s="2" customFormat="1" ht="11.25">
      <c r="A118" s="43">
        <f>IF('[1]p35'!$A$406&lt;&gt;0,'[1]p35'!$A$406,"")</f>
      </c>
      <c r="B118" s="43">
        <f>IF('[1]p35'!$B$406&lt;&gt;0,'[1]p35'!$B$406,"")</f>
      </c>
      <c r="C118" s="43">
        <f>IF('[1]p35'!$C$406&lt;&gt;0,'[1]p35'!$C$406,"")</f>
      </c>
      <c r="D118" s="43">
        <f>IF('[1]p35'!$D$406&lt;&gt;0,'[1]p35'!$D$406,"")</f>
        <v>120</v>
      </c>
      <c r="E118" s="43">
        <f>IF('[1]p35'!$E$406&lt;&gt;0,'[1]p35'!$E$406,"")</f>
      </c>
      <c r="F118" s="24">
        <f>IF('[1]p35'!$F$406&lt;&gt;0,'[1]p35'!$F$406,"")</f>
        <v>240</v>
      </c>
      <c r="G118" s="24">
        <f>IF('[1]p35'!$G$406&lt;&gt;0,'[1]p35'!$G$406,"")</f>
        <v>120</v>
      </c>
      <c r="H118" s="24">
        <f>IF('[1]p35'!$H$406&lt;&gt;0,'[1]p35'!$H$406,"")</f>
      </c>
      <c r="I118" s="24">
        <f>IF('[1]p35'!$I$406&lt;&gt;0,'[1]p35'!$I$406,"")</f>
      </c>
      <c r="J118" s="24">
        <f>IF('[1]p35'!$J$406&lt;&gt;0,'[1]p35'!$J$406,"")</f>
      </c>
      <c r="K118" s="24">
        <f>IF('[1]p35'!$K$406&lt;&gt;0,'[1]p35'!$K$406,"")</f>
      </c>
      <c r="L118" s="24">
        <f>IF('[1]p35'!$L$406&lt;&gt;0,'[1]p35'!$L$406,"")</f>
        <v>5</v>
      </c>
      <c r="M118" s="24">
        <f>IF('[1]p35'!$A$409&lt;&gt;0,'[1]p35'!$A$409," ")</f>
        <v>240</v>
      </c>
      <c r="N118" s="24">
        <f>IF('[1]p35'!$B$409&lt;&gt;0,'[1]p35'!$B$409," ")</f>
        <v>35</v>
      </c>
      <c r="O118" s="24" t="str">
        <f>IF('[1]p35'!$C$409&lt;&gt;0,'[1]p35'!$C$409," ")</f>
        <v> </v>
      </c>
      <c r="P118" s="24">
        <f>IF('[1]p35'!$D$409&lt;&gt;0,'[1]p35'!$D$409," ")</f>
        <v>40</v>
      </c>
      <c r="Q118" s="24">
        <f>IF('[1]p35'!$E$409&lt;&gt;0,'[1]p35'!$E$409," ")</f>
        <v>800</v>
      </c>
    </row>
    <row r="119" spans="1:17" s="2" customFormat="1" ht="11.25">
      <c r="A119" s="479"/>
      <c r="B119" s="479"/>
      <c r="C119" s="479"/>
      <c r="D119" s="479"/>
      <c r="E119" s="479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</row>
    <row r="120" spans="1:17" s="2" customFormat="1" ht="11.25">
      <c r="A120" s="382" t="str">
        <f>T('[1]p36'!$C$13:$G$13)</f>
        <v>Areli Mesquita da Silva</v>
      </c>
      <c r="B120" s="381"/>
      <c r="C120" s="381"/>
      <c r="D120" s="381"/>
      <c r="E120" s="384"/>
      <c r="F120" s="484"/>
      <c r="G120" s="485"/>
      <c r="H120" s="485"/>
      <c r="I120" s="485"/>
      <c r="J120" s="485"/>
      <c r="K120" s="485"/>
      <c r="L120" s="485"/>
      <c r="M120" s="485"/>
      <c r="N120" s="485"/>
      <c r="O120" s="485"/>
      <c r="P120" s="485"/>
      <c r="Q120" s="485"/>
    </row>
    <row r="121" spans="1:17" s="2" customFormat="1" ht="11.25">
      <c r="A121" s="24">
        <f>IF('[1]p36'!$A$406&lt;&gt;0,'[1]p36'!$A$406,"")</f>
      </c>
      <c r="B121" s="24">
        <f>IF('[1]p36'!$B$406&lt;&gt;0,'[1]p36'!$B$406,"")</f>
      </c>
      <c r="C121" s="24">
        <f>IF('[1]p36'!$C$406&lt;&gt;0,'[1]p36'!$C$406,"")</f>
      </c>
      <c r="D121" s="24">
        <f>IF('[1]p36'!$D$406&lt;&gt;0,'[1]p36'!$D$406,"")</f>
        <v>210</v>
      </c>
      <c r="E121" s="24">
        <f>IF('[1]p36'!$E$406&lt;&gt;0,'[1]p36'!$E$406,"")</f>
      </c>
      <c r="F121" s="24">
        <f>IF('[1]p36'!$F$406&lt;&gt;0,'[1]p36'!$F$406,"")</f>
        <v>105</v>
      </c>
      <c r="G121" s="24">
        <f>IF('[1]p36'!$G$406&lt;&gt;0,'[1]p36'!$G$406,"")</f>
      </c>
      <c r="H121" s="24">
        <f>IF('[1]p36'!$H$406&lt;&gt;0,'[1]p36'!$H$406,"")</f>
      </c>
      <c r="I121" s="24">
        <f>IF('[1]p36'!$I$406&lt;&gt;0,'[1]p36'!$I$406,"")</f>
      </c>
      <c r="J121" s="24">
        <f>IF('[1]p36'!$J$406&lt;&gt;0,'[1]p36'!$J$406,"")</f>
      </c>
      <c r="K121" s="24">
        <f>IF('[1]p36'!$K$406&lt;&gt;0,'[1]p36'!$K$406,"")</f>
      </c>
      <c r="L121" s="24">
        <f>IF('[1]p36'!$L$406&lt;&gt;0,'[1]p36'!$L$406,"")</f>
      </c>
      <c r="M121" s="24" t="str">
        <f>IF('[1]p36'!$A$409&lt;&gt;0,'[1]p36'!$A$409," ")</f>
        <v> </v>
      </c>
      <c r="N121" s="24" t="str">
        <f>IF('[1]p36'!$B$409&lt;&gt;0,'[1]p36'!$B$409," ")</f>
        <v> </v>
      </c>
      <c r="O121" s="24" t="str">
        <f>IF('[1]p36'!$C$409&lt;&gt;0,'[1]p36'!$C$409," ")</f>
        <v> </v>
      </c>
      <c r="P121" s="24" t="str">
        <f>IF('[1]p36'!$D$409&lt;&gt;0,'[1]p36'!$D$409," ")</f>
        <v> </v>
      </c>
      <c r="Q121" s="24">
        <f>IF('[1]p36'!$E$409&lt;&gt;0,'[1]p36'!$E$409," ")</f>
        <v>315</v>
      </c>
    </row>
    <row r="122" spans="1:17" s="2" customFormat="1" ht="11.25">
      <c r="A122" s="480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</row>
    <row r="123" spans="1:17" s="1" customFormat="1" ht="12.75">
      <c r="A123" s="175" t="s">
        <v>31</v>
      </c>
      <c r="B123" s="176" t="s">
        <v>32</v>
      </c>
      <c r="C123" s="176" t="s">
        <v>33</v>
      </c>
      <c r="D123" s="176" t="s">
        <v>34</v>
      </c>
      <c r="E123" s="176" t="s">
        <v>35</v>
      </c>
      <c r="F123" s="176" t="s">
        <v>23</v>
      </c>
      <c r="G123" s="176" t="s">
        <v>36</v>
      </c>
      <c r="H123" s="176" t="s">
        <v>37</v>
      </c>
      <c r="I123" s="176" t="s">
        <v>38</v>
      </c>
      <c r="J123" s="176" t="s">
        <v>39</v>
      </c>
      <c r="K123" s="176" t="s">
        <v>40</v>
      </c>
      <c r="L123" s="176" t="s">
        <v>41</v>
      </c>
      <c r="M123" s="175" t="s">
        <v>42</v>
      </c>
      <c r="N123" s="176" t="s">
        <v>43</v>
      </c>
      <c r="O123" s="176" t="s">
        <v>44</v>
      </c>
      <c r="P123" s="176" t="s">
        <v>45</v>
      </c>
      <c r="Q123" s="176" t="s">
        <v>20</v>
      </c>
    </row>
    <row r="124" spans="1:17" s="2" customFormat="1" ht="11.25">
      <c r="A124" s="479"/>
      <c r="B124" s="479"/>
      <c r="C124" s="479"/>
      <c r="D124" s="479"/>
      <c r="E124" s="479"/>
      <c r="F124" s="479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</row>
    <row r="125" spans="1:17" s="2" customFormat="1" ht="11.25">
      <c r="A125" s="382" t="str">
        <f>T('[1]p37'!$C$13:$G$13)</f>
        <v>Cícero Januário Guimarães </v>
      </c>
      <c r="B125" s="381"/>
      <c r="C125" s="381"/>
      <c r="D125" s="381"/>
      <c r="E125" s="384"/>
      <c r="F125" s="484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</row>
    <row r="126" spans="1:17" s="2" customFormat="1" ht="11.25">
      <c r="A126" s="43">
        <f>IF('[1]p37'!$A$406&lt;&gt;0,'[1]p37'!$A$406,"")</f>
      </c>
      <c r="B126" s="43">
        <f>IF('[1]p37'!$B$406&lt;&gt;0,'[1]p37'!$B$406,"")</f>
      </c>
      <c r="C126" s="43">
        <f>IF('[1]p37'!$C$406&lt;&gt;0,'[1]p37'!$C$406,"")</f>
      </c>
      <c r="D126" s="43">
        <f>IF('[1]p37'!$D$406&lt;&gt;0,'[1]p37'!$D$406,"")</f>
        <v>152</v>
      </c>
      <c r="E126" s="43">
        <f>IF('[1]p37'!$E$406&lt;&gt;0,'[1]p37'!$E$406,"")</f>
      </c>
      <c r="F126" s="24">
        <f>IF('[1]p37'!$F$406&lt;&gt;0,'[1]p37'!$F$406,"")</f>
        <v>288</v>
      </c>
      <c r="G126" s="24">
        <f>IF('[1]p37'!$G$406&lt;&gt;0,'[1]p37'!$G$406,"")</f>
      </c>
      <c r="H126" s="24">
        <f>IF('[1]p37'!$H$406&lt;&gt;0,'[1]p37'!$H$406,"")</f>
      </c>
      <c r="I126" s="24">
        <f>IF('[1]p37'!$I$406&lt;&gt;0,'[1]p37'!$I$406,"")</f>
      </c>
      <c r="J126" s="24">
        <f>IF('[1]p37'!$J$406&lt;&gt;0,'[1]p37'!$J$406,"")</f>
      </c>
      <c r="K126" s="24">
        <f>IF('[1]p37'!$K$406&lt;&gt;0,'[1]p37'!$K$406,"")</f>
      </c>
      <c r="L126" s="24">
        <f>IF('[1]p37'!$L$406&lt;&gt;0,'[1]p37'!$L$406,"")</f>
      </c>
      <c r="M126" s="24" t="str">
        <f>IF('[1]p37'!$A$409&lt;&gt;0,'[1]p37'!$A$409," ")</f>
        <v> </v>
      </c>
      <c r="N126" s="24" t="str">
        <f>IF('[1]p37'!$B$409&lt;&gt;0,'[1]p37'!$B$409," ")</f>
        <v> </v>
      </c>
      <c r="O126" s="24" t="str">
        <f>IF('[1]p37'!$C$409&lt;&gt;0,'[1]p37'!$C$409," ")</f>
        <v> </v>
      </c>
      <c r="P126" s="24" t="str">
        <f>IF('[1]p37'!$D$409&lt;&gt;0,'[1]p37'!$D$409," ")</f>
        <v> </v>
      </c>
      <c r="Q126" s="24">
        <f>IF('[1]p37'!$E$409&lt;&gt;0,'[1]p37'!$E$409," ")</f>
        <v>440</v>
      </c>
    </row>
    <row r="127" spans="1:17" s="2" customFormat="1" ht="11.25">
      <c r="A127" s="479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</row>
    <row r="128" spans="1:17" s="2" customFormat="1" ht="11.25">
      <c r="A128" s="382" t="str">
        <f>T('[1]p38'!$C$13:$G$13)</f>
        <v>Fernanda Clara de França Silva</v>
      </c>
      <c r="B128" s="381"/>
      <c r="C128" s="381"/>
      <c r="D128" s="381"/>
      <c r="E128" s="384"/>
      <c r="F128" s="484"/>
      <c r="G128" s="485"/>
      <c r="H128" s="485"/>
      <c r="I128" s="485"/>
      <c r="J128" s="485"/>
      <c r="K128" s="485"/>
      <c r="L128" s="485"/>
      <c r="M128" s="485"/>
      <c r="N128" s="485"/>
      <c r="O128" s="485"/>
      <c r="P128" s="485"/>
      <c r="Q128" s="485"/>
    </row>
    <row r="129" spans="1:17" s="2" customFormat="1" ht="11.25">
      <c r="A129" s="43">
        <f>IF('[1]p38'!$A$406&lt;&gt;0,'[1]p38'!$A$406,"")</f>
      </c>
      <c r="B129" s="43">
        <f>IF('[1]p38'!$B$406&lt;&gt;0,'[1]p38'!$B$406,"")</f>
      </c>
      <c r="C129" s="43">
        <f>IF('[1]p38'!$C$406&lt;&gt;0,'[1]p38'!$C$406,"")</f>
      </c>
      <c r="D129" s="43">
        <f>IF('[1]p38'!$D$406&lt;&gt;0,'[1]p38'!$D$406,"")</f>
        <v>240</v>
      </c>
      <c r="E129" s="43">
        <f>IF('[1]p38'!$E$406&lt;&gt;0,'[1]p38'!$E$406,"")</f>
      </c>
      <c r="F129" s="24">
        <f>IF('[1]p38'!$F$406&lt;&gt;0,'[1]p38'!$F$406,"")</f>
        <v>120</v>
      </c>
      <c r="G129" s="24">
        <f>IF('[1]p38'!$G$406&lt;&gt;0,'[1]p38'!$G$406,"")</f>
        <v>120</v>
      </c>
      <c r="H129" s="24">
        <f>IF('[1]p38'!$H$406&lt;&gt;0,'[1]p38'!$H$406,"")</f>
      </c>
      <c r="I129" s="24">
        <f>IF('[1]p38'!$I$406&lt;&gt;0,'[1]p38'!$I$406,"")</f>
      </c>
      <c r="J129" s="24">
        <f>IF('[1]p38'!$J$406&lt;&gt;0,'[1]p38'!$J$406,"")</f>
      </c>
      <c r="K129" s="24">
        <f>IF('[1]p38'!$K$406&lt;&gt;0,'[1]p38'!$K$406,"")</f>
      </c>
      <c r="L129" s="24">
        <f>IF('[1]p38'!$L$406&lt;&gt;0,'[1]p38'!$L$406,"")</f>
      </c>
      <c r="M129" s="24" t="str">
        <f>IF('[1]p38'!$A$409&lt;&gt;0,'[1]p38'!$A$409," ")</f>
        <v> </v>
      </c>
      <c r="N129" s="24" t="str">
        <f>IF('[1]p38'!$B$409&lt;&gt;0,'[1]p38'!$B$409," ")</f>
        <v> </v>
      </c>
      <c r="O129" s="24" t="str">
        <f>IF('[1]p38'!$C$409&lt;&gt;0,'[1]p38'!$C$409," ")</f>
        <v> </v>
      </c>
      <c r="P129" s="24" t="str">
        <f>IF('[1]p38'!$D$409&lt;&gt;0,'[1]p38'!$D$409," ")</f>
        <v> </v>
      </c>
      <c r="Q129" s="24">
        <f>IF('[1]p38'!$E$409&lt;&gt;0,'[1]p38'!$E$409," ")</f>
        <v>480</v>
      </c>
    </row>
    <row r="130" spans="1:17" s="2" customFormat="1" ht="11.25">
      <c r="A130" s="479"/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</row>
    <row r="131" spans="1:17" s="2" customFormat="1" ht="11.25">
      <c r="A131" s="382" t="str">
        <f>T('[1]p39'!$C$13:$G$13)</f>
        <v>Grayci Mary Gonçalves Leal</v>
      </c>
      <c r="B131" s="381"/>
      <c r="C131" s="381"/>
      <c r="D131" s="381"/>
      <c r="E131" s="384"/>
      <c r="F131" s="484"/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  <c r="Q131" s="485"/>
    </row>
    <row r="132" spans="1:17" s="2" customFormat="1" ht="11.25">
      <c r="A132" s="43">
        <f>IF('[1]p39'!$A$406&lt;&gt;0,'[1]p39'!$A$406,"")</f>
      </c>
      <c r="B132" s="43">
        <f>IF('[1]p39'!$B$406&lt;&gt;0,'[1]p39'!$B$406,"")</f>
      </c>
      <c r="C132" s="43">
        <f>IF('[1]p39'!$C$406&lt;&gt;0,'[1]p39'!$C$406,"")</f>
      </c>
      <c r="D132" s="43">
        <f>IF('[1]p39'!$D$406&lt;&gt;0,'[1]p39'!$D$406,"")</f>
        <v>150</v>
      </c>
      <c r="E132" s="43">
        <f>IF('[1]p39'!$E$406&lt;&gt;0,'[1]p39'!$E$406,"")</f>
      </c>
      <c r="F132" s="24">
        <f>IF('[1]p39'!$F$406&lt;&gt;0,'[1]p39'!$F$406,"")</f>
        <v>300</v>
      </c>
      <c r="G132" s="24">
        <f>IF('[1]p39'!$G$406&lt;&gt;0,'[1]p39'!$G$406,"")</f>
      </c>
      <c r="H132" s="24">
        <f>IF('[1]p39'!$H$406&lt;&gt;0,'[1]p39'!$H$406,"")</f>
      </c>
      <c r="I132" s="24">
        <f>IF('[1]p39'!$I$406&lt;&gt;0,'[1]p39'!$I$406,"")</f>
      </c>
      <c r="J132" s="24">
        <f>IF('[1]p39'!$J$406&lt;&gt;0,'[1]p39'!$J$406,"")</f>
      </c>
      <c r="K132" s="24">
        <f>IF('[1]p39'!$K$406&lt;&gt;0,'[1]p39'!$K$406,"")</f>
      </c>
      <c r="L132" s="24">
        <f>IF('[1]p39'!$L$406&lt;&gt;0,'[1]p39'!$L$406,"")</f>
      </c>
      <c r="M132" s="24" t="str">
        <f>IF('[1]p39'!$A$409&lt;&gt;0,'[1]p39'!$A$409," ")</f>
        <v> </v>
      </c>
      <c r="N132" s="24" t="str">
        <f>IF('[1]p39'!$B$409&lt;&gt;0,'[1]p39'!$B$409," ")</f>
        <v> </v>
      </c>
      <c r="O132" s="24" t="str">
        <f>IF('[1]p39'!$C$409&lt;&gt;0,'[1]p39'!$C$409," ")</f>
        <v> </v>
      </c>
      <c r="P132" s="24" t="str">
        <f>IF('[1]p39'!$D$409&lt;&gt;0,'[1]p39'!$D$409," ")</f>
        <v> </v>
      </c>
      <c r="Q132" s="24">
        <f>IF('[1]p39'!$E$409&lt;&gt;0,'[1]p39'!$E$409," ")</f>
        <v>450</v>
      </c>
    </row>
    <row r="133" spans="1:17" s="2" customFormat="1" ht="11.25">
      <c r="A133" s="479"/>
      <c r="B133" s="479"/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</row>
    <row r="134" spans="1:17" s="2" customFormat="1" ht="11.25">
      <c r="A134" s="423" t="str">
        <f>T('[1]p40'!$C$13:$G$13)</f>
        <v>Hallyson Gustavo Guedes de M. Lima</v>
      </c>
      <c r="B134" s="423"/>
      <c r="C134" s="423"/>
      <c r="D134" s="423"/>
      <c r="E134" s="423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</row>
    <row r="135" spans="1:17" s="2" customFormat="1" ht="11.25">
      <c r="A135" s="24">
        <f>IF('[1]p40'!$A$406&lt;&gt;0,'[1]p40'!$A$406,"")</f>
      </c>
      <c r="B135" s="24">
        <f>IF('[1]p40'!$B$406&lt;&gt;0,'[1]p40'!$B$406,"")</f>
      </c>
      <c r="C135" s="24">
        <f>IF('[1]p40'!$C$406&lt;&gt;0,'[1]p40'!$C$406,"")</f>
      </c>
      <c r="D135" s="24">
        <f>IF('[1]p40'!$D$406&lt;&gt;0,'[1]p40'!$D$406,"")</f>
        <v>55</v>
      </c>
      <c r="E135" s="24">
        <f>IF('[1]p40'!$E$406&lt;&gt;0,'[1]p40'!$E$406,"")</f>
      </c>
      <c r="F135" s="24">
        <f>IF('[1]p40'!$F$406&lt;&gt;0,'[1]p40'!$F$406,"")</f>
        <v>110</v>
      </c>
      <c r="G135" s="24">
        <f>IF('[1]p40'!$G$406&lt;&gt;0,'[1]p40'!$G$406,"")</f>
      </c>
      <c r="H135" s="24">
        <f>IF('[1]p40'!$H$406&lt;&gt;0,'[1]p40'!$H$406,"")</f>
      </c>
      <c r="I135" s="24">
        <f>IF('[1]p40'!$I$406&lt;&gt;0,'[1]p40'!$I$406,"")</f>
      </c>
      <c r="J135" s="24">
        <f>IF('[1]p40'!$J$406&lt;&gt;0,'[1]p40'!$J$406,"")</f>
      </c>
      <c r="K135" s="24">
        <f>IF('[1]p40'!$K$406&lt;&gt;0,'[1]p40'!$K$406,"")</f>
      </c>
      <c r="L135" s="24">
        <f>IF('[1]p40'!$L$406&lt;&gt;0,'[1]p40'!$L$406,"")</f>
      </c>
      <c r="M135" s="24" t="str">
        <f>IF('[1]p40'!$A$409&lt;&gt;0,'[1]p40'!$A$409," ")</f>
        <v> </v>
      </c>
      <c r="N135" s="24" t="str">
        <f>IF('[1]p40'!$B$409&lt;&gt;0,'[1]p40'!$B$409," ")</f>
        <v> </v>
      </c>
      <c r="O135" s="24" t="str">
        <f>IF('[1]p40'!$C$409&lt;&gt;0,'[1]p40'!$C$409," ")</f>
        <v> </v>
      </c>
      <c r="P135" s="24" t="str">
        <f>IF('[1]p40'!$D$409&lt;&gt;0,'[1]p40'!$D$409," ")</f>
        <v> </v>
      </c>
      <c r="Q135" s="24">
        <f>IF('[1]p40'!$E$409&lt;&gt;0,'[1]p40'!$E$409," ")</f>
        <v>165</v>
      </c>
    </row>
    <row r="136" spans="1:17" s="2" customFormat="1" ht="11.25">
      <c r="A136" s="482"/>
      <c r="B136" s="482"/>
      <c r="C136" s="482"/>
      <c r="D136" s="482"/>
      <c r="E136" s="482"/>
      <c r="F136" s="483"/>
      <c r="G136" s="483"/>
      <c r="H136" s="483"/>
      <c r="I136" s="483"/>
      <c r="J136" s="483"/>
      <c r="K136" s="483"/>
      <c r="L136" s="483"/>
      <c r="M136" s="483"/>
      <c r="N136" s="483"/>
      <c r="O136" s="483"/>
      <c r="P136" s="483"/>
      <c r="Q136" s="483"/>
    </row>
    <row r="137" spans="1:17" s="34" customFormat="1" ht="11.25">
      <c r="A137" s="423" t="str">
        <f>T('[1]p41'!$C$13:$G$13)</f>
        <v>Hugo Bezerra Borba de Araújo</v>
      </c>
      <c r="B137" s="423"/>
      <c r="C137" s="423"/>
      <c r="D137" s="423"/>
      <c r="E137" s="423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</row>
    <row r="138" spans="1:17" s="2" customFormat="1" ht="11.25">
      <c r="A138" s="24">
        <f>IF('[1]p41'!$A$406&lt;&gt;0,'[1]p41'!$A$406,"")</f>
      </c>
      <c r="B138" s="24">
        <f>IF('[1]p41'!$B$406&lt;&gt;0,'[1]p41'!$B$406,"")</f>
      </c>
      <c r="C138" s="24">
        <f>IF('[1]p41'!$C$406&lt;&gt;0,'[1]p41'!$C$406,"")</f>
      </c>
      <c r="D138" s="24">
        <f>IF('[1]p41'!$D$406&lt;&gt;0,'[1]p41'!$D$406,"")</f>
        <v>182</v>
      </c>
      <c r="E138" s="24">
        <f>IF('[1]p41'!$E$406&lt;&gt;0,'[1]p41'!$E$406,"")</f>
      </c>
      <c r="F138" s="24">
        <f>IF('[1]p41'!$F$406&lt;&gt;0,'[1]p41'!$F$406,"")</f>
        <v>200</v>
      </c>
      <c r="G138" s="24">
        <f>IF('[1]p41'!$G$406&lt;&gt;0,'[1]p41'!$G$406,"")</f>
      </c>
      <c r="H138" s="24">
        <f>IF('[1]p41'!$H$406&lt;&gt;0,'[1]p41'!$H$406,"")</f>
      </c>
      <c r="I138" s="24">
        <f>IF('[1]p41'!$I$406&lt;&gt;0,'[1]p41'!$I$406,"")</f>
      </c>
      <c r="J138" s="24">
        <f>IF('[1]p41'!$J$406&lt;&gt;0,'[1]p41'!$J$406,"")</f>
      </c>
      <c r="K138" s="24">
        <f>IF('[1]p41'!$K$406&lt;&gt;0,'[1]p41'!$K$406,"")</f>
      </c>
      <c r="L138" s="24">
        <f>IF('[1]p41'!$L$406&lt;&gt;0,'[1]p41'!$L$406,"")</f>
      </c>
      <c r="M138" s="24" t="str">
        <f>IF('[1]p41'!$A$409&lt;&gt;0,'[1]p41'!$A$409," ")</f>
        <v> </v>
      </c>
      <c r="N138" s="24" t="str">
        <f>IF('[1]p41'!$B$409&lt;&gt;0,'[1]p41'!$B$409," ")</f>
        <v> </v>
      </c>
      <c r="O138" s="24" t="str">
        <f>IF('[1]p41'!$C$409&lt;&gt;0,'[1]p41'!$C$409," ")</f>
        <v> </v>
      </c>
      <c r="P138" s="24" t="str">
        <f>IF('[1]p41'!$D$409&lt;&gt;0,'[1]p41'!$D$409," ")</f>
        <v> </v>
      </c>
      <c r="Q138" s="24">
        <f>IF('[1]p41'!$E$409&lt;&gt;0,'[1]p41'!$E$409," ")</f>
        <v>382</v>
      </c>
    </row>
    <row r="139" spans="1:17" s="2" customFormat="1" ht="11.25">
      <c r="A139" s="482"/>
      <c r="B139" s="482"/>
      <c r="C139" s="482"/>
      <c r="D139" s="482"/>
      <c r="E139" s="482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</row>
    <row r="140" spans="1:17" s="34" customFormat="1" ht="11.25">
      <c r="A140" s="423" t="str">
        <f>T('[1]p42'!$C$13:$G$13)</f>
        <v> Ivaldo Maciel de Brito</v>
      </c>
      <c r="B140" s="423"/>
      <c r="C140" s="423"/>
      <c r="D140" s="423"/>
      <c r="E140" s="423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</row>
    <row r="141" spans="1:17" s="2" customFormat="1" ht="11.25">
      <c r="A141" s="24">
        <f>IF('[1]p42'!$A$406&lt;&gt;0,'[1]p42'!$A$406,"")</f>
      </c>
      <c r="B141" s="24">
        <f>IF('[1]p42'!$B$406&lt;&gt;0,'[1]p42'!$B$406,"")</f>
      </c>
      <c r="C141" s="24">
        <f>IF('[1]p42'!$C$406&lt;&gt;0,'[1]p42'!$C$406,"")</f>
      </c>
      <c r="D141" s="24">
        <f>IF('[1]p42'!$D$406&lt;&gt;0,'[1]p42'!$D$406,"")</f>
        <v>88</v>
      </c>
      <c r="E141" s="24">
        <f>IF('[1]p42'!$E$406&lt;&gt;0,'[1]p42'!$E$406,"")</f>
      </c>
      <c r="F141" s="24">
        <f>IF('[1]p42'!$F$406&lt;&gt;0,'[1]p42'!$F$406,"")</f>
        <v>176</v>
      </c>
      <c r="G141" s="24">
        <f>IF('[1]p42'!$G$406&lt;&gt;0,'[1]p42'!$G$406,"")</f>
      </c>
      <c r="H141" s="24">
        <f>IF('[1]p42'!$H$406&lt;&gt;0,'[1]p42'!$H$406,"")</f>
      </c>
      <c r="I141" s="24">
        <f>IF('[1]p42'!$I$406&lt;&gt;0,'[1]p42'!$I$406,"")</f>
      </c>
      <c r="J141" s="24">
        <f>IF('[1]p42'!$J$406&lt;&gt;0,'[1]p42'!$J$406,"")</f>
      </c>
      <c r="K141" s="24">
        <f>IF('[1]p42'!$K$406&lt;&gt;0,'[1]p42'!$K$406,"")</f>
      </c>
      <c r="L141" s="24">
        <f>IF('[1]p42'!$L$406&lt;&gt;0,'[1]p42'!$L$406,"")</f>
      </c>
      <c r="M141" s="24" t="str">
        <f>IF('[1]p42'!$A$409&lt;&gt;0,'[1]p42'!$A$409," ")</f>
        <v> </v>
      </c>
      <c r="N141" s="24" t="str">
        <f>IF('[1]p42'!$B$409&lt;&gt;0,'[1]p42'!$B$409," ")</f>
        <v> </v>
      </c>
      <c r="O141" s="24" t="str">
        <f>IF('[1]p42'!$C$409&lt;&gt;0,'[1]p42'!$C$409," ")</f>
        <v> </v>
      </c>
      <c r="P141" s="24" t="str">
        <f>IF('[1]p42'!$D$409&lt;&gt;0,'[1]p42'!$D$409," ")</f>
        <v> </v>
      </c>
      <c r="Q141" s="24">
        <f>IF('[1]p42'!$E$409&lt;&gt;0,'[1]p42'!$E$409," ")</f>
        <v>264</v>
      </c>
    </row>
    <row r="142" spans="1:17" s="2" customFormat="1" ht="11.25">
      <c r="A142" s="482"/>
      <c r="B142" s="482"/>
      <c r="C142" s="482"/>
      <c r="D142" s="482"/>
      <c r="E142" s="482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</row>
    <row r="143" spans="1:17" s="34" customFormat="1" ht="11.25">
      <c r="A143" s="423" t="str">
        <f>T('[1]p43'!$C$13:$G$13)</f>
        <v>José Iraponil Costa Lima</v>
      </c>
      <c r="B143" s="423"/>
      <c r="C143" s="423"/>
      <c r="D143" s="423"/>
      <c r="E143" s="423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</row>
    <row r="144" spans="1:17" s="2" customFormat="1" ht="11.25">
      <c r="A144" s="24">
        <f>IF('[1]p43'!$A$406&lt;&gt;0,'[1]p43'!$A$406,"")</f>
      </c>
      <c r="B144" s="24">
        <f>IF('[1]p43'!$B$406&lt;&gt;0,'[1]p43'!$B$406,"")</f>
      </c>
      <c r="C144" s="24">
        <f>IF('[1]p43'!$C$406&lt;&gt;0,'[1]p43'!$C$406,"")</f>
        <v>120</v>
      </c>
      <c r="D144" s="24">
        <f>IF('[1]p43'!$D$406&lt;&gt;0,'[1]p43'!$D$406,"")</f>
        <v>60</v>
      </c>
      <c r="E144" s="24">
        <f>IF('[1]p43'!$E$406&lt;&gt;0,'[1]p43'!$E$406,"")</f>
      </c>
      <c r="F144" s="24">
        <f>IF('[1]p43'!$F$406&lt;&gt;0,'[1]p43'!$F$406,"")</f>
        <v>120</v>
      </c>
      <c r="G144" s="24">
        <f>IF('[1]p43'!$G$406&lt;&gt;0,'[1]p43'!$G$406,"")</f>
        <v>20</v>
      </c>
      <c r="H144" s="24">
        <f>IF('[1]p43'!$H$406&lt;&gt;0,'[1]p43'!$H$406,"")</f>
      </c>
      <c r="I144" s="24">
        <f>IF('[1]p43'!$I$406&lt;&gt;0,'[1]p43'!$I$406,"")</f>
      </c>
      <c r="J144" s="24">
        <f>IF('[1]p43'!$J$406&lt;&gt;0,'[1]p43'!$J$406,"")</f>
      </c>
      <c r="K144" s="24">
        <f>IF('[1]p43'!$K$406&lt;&gt;0,'[1]p43'!$K$406,"")</f>
      </c>
      <c r="L144" s="24">
        <f>IF('[1]p43'!$L$406&lt;&gt;0,'[1]p43'!$L$406,"")</f>
      </c>
      <c r="M144" s="24" t="str">
        <f>IF('[1]p43'!$A$409&lt;&gt;0,'[1]p43'!$A$409," ")</f>
        <v> </v>
      </c>
      <c r="N144" s="24" t="str">
        <f>IF('[1]p43'!$B$409&lt;&gt;0,'[1]p43'!$B$409," ")</f>
        <v> </v>
      </c>
      <c r="O144" s="24" t="str">
        <f>IF('[1]p43'!$C$409&lt;&gt;0,'[1]p43'!$C$409," ")</f>
        <v> </v>
      </c>
      <c r="P144" s="24" t="str">
        <f>IF('[1]p43'!$D$409&lt;&gt;0,'[1]p43'!$D$409," ")</f>
        <v> </v>
      </c>
      <c r="Q144" s="24">
        <f>IF('[1]p43'!$E$409&lt;&gt;0,'[1]p43'!$E$409," ")</f>
        <v>320</v>
      </c>
    </row>
    <row r="145" spans="1:17" s="2" customFormat="1" ht="11.25">
      <c r="A145" s="482"/>
      <c r="B145" s="482"/>
      <c r="C145" s="482"/>
      <c r="D145" s="482"/>
      <c r="E145" s="482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</row>
    <row r="146" spans="1:17" s="34" customFormat="1" ht="11.25">
      <c r="A146" s="423" t="str">
        <f>T('[1]p44'!$C$13:$G$13)</f>
        <v>José Vieira Alves</v>
      </c>
      <c r="B146" s="423"/>
      <c r="C146" s="423"/>
      <c r="D146" s="423"/>
      <c r="E146" s="423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</row>
    <row r="147" spans="1:17" s="2" customFormat="1" ht="11.25">
      <c r="A147" s="24">
        <f>IF('[1]p44'!$A$406&lt;&gt;0,'[1]p44'!$A$406,"")</f>
      </c>
      <c r="B147" s="24">
        <f>IF('[1]p44'!$B$406&lt;&gt;0,'[1]p44'!$B$406,"")</f>
      </c>
      <c r="C147" s="24">
        <f>IF('[1]p44'!$C$406&lt;&gt;0,'[1]p44'!$C$406,"")</f>
      </c>
      <c r="D147" s="24">
        <f>IF('[1]p44'!$D$406&lt;&gt;0,'[1]p44'!$D$406,"")</f>
        <v>192</v>
      </c>
      <c r="E147" s="24">
        <f>IF('[1]p44'!$E$406&lt;&gt;0,'[1]p44'!$E$406,"")</f>
      </c>
      <c r="F147" s="24">
        <f>IF('[1]p44'!$F$406&lt;&gt;0,'[1]p44'!$F$406,"")</f>
        <v>148</v>
      </c>
      <c r="G147" s="24">
        <f>IF('[1]p44'!$G$406&lt;&gt;0,'[1]p44'!$G$406,"")</f>
        <v>80</v>
      </c>
      <c r="H147" s="24">
        <f>IF('[1]p44'!$H$406&lt;&gt;0,'[1]p44'!$H$406,"")</f>
      </c>
      <c r="I147" s="24">
        <f>IF('[1]p44'!$I$406&lt;&gt;0,'[1]p44'!$I$406,"")</f>
      </c>
      <c r="J147" s="24">
        <f>IF('[1]p44'!$J$406&lt;&gt;0,'[1]p44'!$J$406,"")</f>
        <v>20</v>
      </c>
      <c r="K147" s="24">
        <f>IF('[1]p44'!$K$406&lt;&gt;0,'[1]p44'!$K$406,"")</f>
      </c>
      <c r="L147" s="24">
        <f>IF('[1]p44'!$L$406&lt;&gt;0,'[1]p44'!$L$406,"")</f>
      </c>
      <c r="M147" s="24" t="str">
        <f>IF('[1]p44'!$A$409&lt;&gt;0,'[1]p44'!$A$409," ")</f>
        <v> </v>
      </c>
      <c r="N147" s="24" t="str">
        <f>IF('[1]p44'!$B$409&lt;&gt;0,'[1]p44'!$B$409," ")</f>
        <v> </v>
      </c>
      <c r="O147" s="24" t="str">
        <f>IF('[1]p44'!$C$409&lt;&gt;0,'[1]p44'!$C$409," ")</f>
        <v> </v>
      </c>
      <c r="P147" s="24" t="str">
        <f>IF('[1]p44'!$D$409&lt;&gt;0,'[1]p44'!$D$409," ")</f>
        <v> </v>
      </c>
      <c r="Q147" s="24">
        <f>IF('[1]p44'!$E$409&lt;&gt;0,'[1]p44'!$E$409," ")</f>
        <v>440</v>
      </c>
    </row>
    <row r="148" spans="1:17" s="2" customFormat="1" ht="11.25">
      <c r="A148" s="482"/>
      <c r="B148" s="482"/>
      <c r="C148" s="482"/>
      <c r="D148" s="482"/>
      <c r="E148" s="482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83"/>
      <c r="Q148" s="483"/>
    </row>
    <row r="149" spans="1:17" s="34" customFormat="1" ht="11.25">
      <c r="A149" s="423" t="str">
        <f>T('[1]p45'!$C$13:$G$13)</f>
        <v>Juliana Paula Correia</v>
      </c>
      <c r="B149" s="423"/>
      <c r="C149" s="423"/>
      <c r="D149" s="423"/>
      <c r="E149" s="423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</row>
    <row r="150" spans="1:17" s="2" customFormat="1" ht="11.25">
      <c r="A150" s="24">
        <f>IF('[1]p45'!$A$406&lt;&gt;0,'[1]p45'!$A$406,"")</f>
      </c>
      <c r="B150" s="24">
        <f>IF('[1]p45'!$B$406&lt;&gt;0,'[1]p45'!$B$406,"")</f>
      </c>
      <c r="C150" s="24">
        <f>IF('[1]p45'!$C$406&lt;&gt;0,'[1]p45'!$C$406,"")</f>
      </c>
      <c r="D150" s="24">
        <f>IF('[1]p45'!$D$406&lt;&gt;0,'[1]p45'!$D$406,"")</f>
        <v>48</v>
      </c>
      <c r="E150" s="24">
        <f>IF('[1]p45'!$E$406&lt;&gt;0,'[1]p45'!$E$406,"")</f>
      </c>
      <c r="F150" s="24">
        <f>IF('[1]p45'!$F$406&lt;&gt;0,'[1]p45'!$F$406,"")</f>
        <v>96</v>
      </c>
      <c r="G150" s="24">
        <f>IF('[1]p45'!$G$406&lt;&gt;0,'[1]p45'!$G$406,"")</f>
      </c>
      <c r="H150" s="24">
        <f>IF('[1]p45'!$H$406&lt;&gt;0,'[1]p45'!$H$406,"")</f>
      </c>
      <c r="I150" s="24">
        <f>IF('[1]p45'!$I$406&lt;&gt;0,'[1]p45'!$I$406,"")</f>
      </c>
      <c r="J150" s="24">
        <f>IF('[1]p45'!$J$406&lt;&gt;0,'[1]p45'!$J$406,"")</f>
      </c>
      <c r="K150" s="24">
        <f>IF('[1]p45'!$K$406&lt;&gt;0,'[1]p45'!$K$406,"")</f>
      </c>
      <c r="L150" s="24">
        <f>IF('[1]p45'!$L$406&lt;&gt;0,'[1]p45'!$L$406,"")</f>
      </c>
      <c r="M150" s="24" t="str">
        <f>IF('[1]p45'!$A$409&lt;&gt;0,'[1]p45'!$A$409," ")</f>
        <v> </v>
      </c>
      <c r="N150" s="24" t="str">
        <f>IF('[1]p45'!$B$409&lt;&gt;0,'[1]p45'!$B$409," ")</f>
        <v> </v>
      </c>
      <c r="O150" s="24" t="str">
        <f>IF('[1]p45'!$C$409&lt;&gt;0,'[1]p45'!$C$409," ")</f>
        <v> </v>
      </c>
      <c r="P150" s="24" t="str">
        <f>IF('[1]p45'!$D$409&lt;&gt;0,'[1]p45'!$D$409," ")</f>
        <v> </v>
      </c>
      <c r="Q150" s="24">
        <f>IF('[1]p45'!$E$409&lt;&gt;0,'[1]p45'!$E$409," ")</f>
        <v>144</v>
      </c>
    </row>
    <row r="152" spans="1:14" ht="12.75">
      <c r="A152" s="424" t="s">
        <v>299</v>
      </c>
      <c r="B152" s="424"/>
      <c r="C152" s="424"/>
      <c r="D152" s="424"/>
      <c r="E152" s="424"/>
      <c r="F152" s="424" t="s">
        <v>300</v>
      </c>
      <c r="G152" s="424"/>
      <c r="H152" s="424"/>
      <c r="I152" s="424"/>
      <c r="J152" s="424" t="s">
        <v>314</v>
      </c>
      <c r="K152" s="424"/>
      <c r="L152" s="424"/>
      <c r="M152" s="424"/>
      <c r="N152" s="424"/>
    </row>
    <row r="154" spans="1:18" ht="12.75">
      <c r="A154" s="424" t="s">
        <v>301</v>
      </c>
      <c r="B154" s="424"/>
      <c r="C154" s="424"/>
      <c r="D154" s="424"/>
      <c r="E154" s="424"/>
      <c r="F154" s="424" t="s">
        <v>302</v>
      </c>
      <c r="G154" s="424"/>
      <c r="H154" s="424"/>
      <c r="I154" s="424"/>
      <c r="J154" s="8"/>
      <c r="K154" s="10" t="s">
        <v>306</v>
      </c>
      <c r="L154" s="10"/>
      <c r="M154" s="10"/>
      <c r="N154" s="10"/>
      <c r="O154" s="10"/>
      <c r="P154" s="10"/>
      <c r="Q154" s="10"/>
      <c r="R154" s="10"/>
    </row>
    <row r="156" spans="1:17" ht="12.75">
      <c r="A156" s="424" t="s">
        <v>303</v>
      </c>
      <c r="B156" s="424"/>
      <c r="C156" s="424"/>
      <c r="D156" s="424"/>
      <c r="E156" s="8"/>
      <c r="F156" s="10" t="s">
        <v>304</v>
      </c>
      <c r="G156" s="10"/>
      <c r="H156" s="10"/>
      <c r="I156" s="10"/>
      <c r="J156" s="10"/>
      <c r="K156" s="10"/>
      <c r="L156" s="424" t="s">
        <v>305</v>
      </c>
      <c r="M156" s="424"/>
      <c r="N156" s="8"/>
      <c r="O156" s="424" t="s">
        <v>307</v>
      </c>
      <c r="P156" s="424"/>
      <c r="Q156" s="424"/>
    </row>
    <row r="158" spans="1:17" ht="12.75">
      <c r="A158" s="424" t="s">
        <v>308</v>
      </c>
      <c r="B158" s="424"/>
      <c r="C158" s="424"/>
      <c r="D158" s="424"/>
      <c r="E158" s="424"/>
      <c r="F158" s="424" t="s">
        <v>309</v>
      </c>
      <c r="G158" s="424"/>
      <c r="H158" s="424"/>
      <c r="I158" s="424"/>
      <c r="J158" s="424"/>
      <c r="K158" s="424"/>
      <c r="L158" s="424" t="s">
        <v>310</v>
      </c>
      <c r="M158" s="424"/>
      <c r="N158" s="8"/>
      <c r="O158" s="8"/>
      <c r="P158" s="478"/>
      <c r="Q158" s="478"/>
    </row>
    <row r="160" spans="1:17" ht="12.75">
      <c r="A160" s="424" t="s">
        <v>311</v>
      </c>
      <c r="B160" s="424"/>
      <c r="C160" s="424"/>
      <c r="D160" s="424"/>
      <c r="E160" s="424"/>
      <c r="F160" s="424" t="s">
        <v>312</v>
      </c>
      <c r="G160" s="424"/>
      <c r="H160" s="424"/>
      <c r="I160" s="424"/>
      <c r="J160" s="424"/>
      <c r="K160" s="424"/>
      <c r="L160" s="424" t="s">
        <v>313</v>
      </c>
      <c r="M160" s="424"/>
      <c r="N160" s="424"/>
      <c r="O160" s="424"/>
      <c r="P160" s="424"/>
      <c r="Q160" s="8"/>
    </row>
  </sheetData>
  <sheetProtection password="CEFE" sheet="1" objects="1" scenarios="1"/>
  <mergeCells count="162">
    <mergeCell ref="A55:E55"/>
    <mergeCell ref="F55:Q55"/>
    <mergeCell ref="A75:Q75"/>
    <mergeCell ref="A76:E76"/>
    <mergeCell ref="F76:Q76"/>
    <mergeCell ref="A57:Q57"/>
    <mergeCell ref="A58:E58"/>
    <mergeCell ref="A60:Q60"/>
    <mergeCell ref="F58:Q58"/>
    <mergeCell ref="A61:E61"/>
    <mergeCell ref="A13:Q13"/>
    <mergeCell ref="A14:E14"/>
    <mergeCell ref="F14:Q14"/>
    <mergeCell ref="A54:Q54"/>
    <mergeCell ref="A16:Q16"/>
    <mergeCell ref="A17:E17"/>
    <mergeCell ref="A19:Q19"/>
    <mergeCell ref="A20:E20"/>
    <mergeCell ref="F20:Q20"/>
    <mergeCell ref="F17:Q17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1:E11"/>
    <mergeCell ref="A8:E8"/>
    <mergeCell ref="F11:Q11"/>
    <mergeCell ref="F8:Q8"/>
    <mergeCell ref="A22:Q22"/>
    <mergeCell ref="A23:E23"/>
    <mergeCell ref="A25:Q25"/>
    <mergeCell ref="A26:E26"/>
    <mergeCell ref="F23:Q23"/>
    <mergeCell ref="F26:Q26"/>
    <mergeCell ref="A28:Q28"/>
    <mergeCell ref="A29:E29"/>
    <mergeCell ref="A31:Q31"/>
    <mergeCell ref="A32:E32"/>
    <mergeCell ref="F29:Q29"/>
    <mergeCell ref="F32:Q32"/>
    <mergeCell ref="A34:Q34"/>
    <mergeCell ref="A35:E35"/>
    <mergeCell ref="A37:Q37"/>
    <mergeCell ref="A38:E38"/>
    <mergeCell ref="F35:Q35"/>
    <mergeCell ref="F38:Q38"/>
    <mergeCell ref="A40:Q40"/>
    <mergeCell ref="A43:E43"/>
    <mergeCell ref="A45:Q45"/>
    <mergeCell ref="A46:E46"/>
    <mergeCell ref="F43:Q43"/>
    <mergeCell ref="F46:Q46"/>
    <mergeCell ref="A42:Q42"/>
    <mergeCell ref="A48:Q48"/>
    <mergeCell ref="A49:E49"/>
    <mergeCell ref="A51:Q51"/>
    <mergeCell ref="A52:E52"/>
    <mergeCell ref="F49:Q49"/>
    <mergeCell ref="F52:Q52"/>
    <mergeCell ref="A63:Q63"/>
    <mergeCell ref="A67:E67"/>
    <mergeCell ref="F61:Q61"/>
    <mergeCell ref="F67:Q67"/>
    <mergeCell ref="A64:E64"/>
    <mergeCell ref="F64:Q64"/>
    <mergeCell ref="A66:Q66"/>
    <mergeCell ref="A69:Q69"/>
    <mergeCell ref="A70:E70"/>
    <mergeCell ref="A72:Q72"/>
    <mergeCell ref="F70:Q70"/>
    <mergeCell ref="A73:E73"/>
    <mergeCell ref="A78:Q78"/>
    <mergeCell ref="A79:E79"/>
    <mergeCell ref="A86:Q86"/>
    <mergeCell ref="F73:Q73"/>
    <mergeCell ref="F79:Q79"/>
    <mergeCell ref="A81:Q81"/>
    <mergeCell ref="A84:E84"/>
    <mergeCell ref="F84:Q84"/>
    <mergeCell ref="A87:E87"/>
    <mergeCell ref="A89:Q89"/>
    <mergeCell ref="A90:E90"/>
    <mergeCell ref="A92:Q92"/>
    <mergeCell ref="F87:Q87"/>
    <mergeCell ref="F90:Q90"/>
    <mergeCell ref="A93:E93"/>
    <mergeCell ref="A95:Q95"/>
    <mergeCell ref="A96:E96"/>
    <mergeCell ref="A98:Q98"/>
    <mergeCell ref="F96:Q96"/>
    <mergeCell ref="A99:E99"/>
    <mergeCell ref="A101:Q101"/>
    <mergeCell ref="A102:E102"/>
    <mergeCell ref="A104:Q104"/>
    <mergeCell ref="F99:Q99"/>
    <mergeCell ref="F102:Q102"/>
    <mergeCell ref="A105:E105"/>
    <mergeCell ref="A107:Q107"/>
    <mergeCell ref="A108:E108"/>
    <mergeCell ref="A110:Q110"/>
    <mergeCell ref="F105:Q105"/>
    <mergeCell ref="F108:Q108"/>
    <mergeCell ref="A111:E111"/>
    <mergeCell ref="A113:Q113"/>
    <mergeCell ref="A114:E114"/>
    <mergeCell ref="A116:Q116"/>
    <mergeCell ref="F111:Q111"/>
    <mergeCell ref="F114:Q114"/>
    <mergeCell ref="A117:E117"/>
    <mergeCell ref="A119:Q119"/>
    <mergeCell ref="A120:E120"/>
    <mergeCell ref="F117:Q117"/>
    <mergeCell ref="F120:Q120"/>
    <mergeCell ref="A124:Q124"/>
    <mergeCell ref="A125:E125"/>
    <mergeCell ref="A127:Q127"/>
    <mergeCell ref="F125:Q125"/>
    <mergeCell ref="A128:E128"/>
    <mergeCell ref="A130:Q130"/>
    <mergeCell ref="A131:E131"/>
    <mergeCell ref="A133:Q133"/>
    <mergeCell ref="F128:Q128"/>
    <mergeCell ref="F131:Q131"/>
    <mergeCell ref="A134:E134"/>
    <mergeCell ref="A136:Q136"/>
    <mergeCell ref="F134:Q134"/>
    <mergeCell ref="A137:E137"/>
    <mergeCell ref="A139:Q139"/>
    <mergeCell ref="A140:E140"/>
    <mergeCell ref="A142:Q142"/>
    <mergeCell ref="F137:Q137"/>
    <mergeCell ref="F140:Q140"/>
    <mergeCell ref="A145:Q145"/>
    <mergeCell ref="A146:E146"/>
    <mergeCell ref="A148:Q148"/>
    <mergeCell ref="F143:Q143"/>
    <mergeCell ref="F146:Q146"/>
    <mergeCell ref="A154:E154"/>
    <mergeCell ref="F154:I154"/>
    <mergeCell ref="A83:Q83"/>
    <mergeCell ref="A122:Q122"/>
    <mergeCell ref="A152:E152"/>
    <mergeCell ref="F152:I152"/>
    <mergeCell ref="J152:N152"/>
    <mergeCell ref="A149:E149"/>
    <mergeCell ref="F149:Q149"/>
    <mergeCell ref="A143:E143"/>
    <mergeCell ref="A160:E160"/>
    <mergeCell ref="F160:K160"/>
    <mergeCell ref="L160:P160"/>
    <mergeCell ref="L156:M156"/>
    <mergeCell ref="O156:Q156"/>
    <mergeCell ref="P158:Q158"/>
    <mergeCell ref="A158:E158"/>
    <mergeCell ref="F158:K158"/>
    <mergeCell ref="L158:M158"/>
    <mergeCell ref="A156:D156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rowBreaks count="1" manualBreakCount="1">
    <brk id="80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1"/>
    </row>
    <row r="2" spans="1:17" ht="13.5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3.5" thickBot="1">
      <c r="A3" s="393" t="s">
        <v>246</v>
      </c>
      <c r="B3" s="394"/>
      <c r="C3" s="394"/>
      <c r="D3" s="394"/>
      <c r="E3" s="395"/>
      <c r="F3" s="495"/>
      <c r="G3" s="388"/>
      <c r="H3" s="388"/>
      <c r="I3" s="388"/>
      <c r="J3" s="388"/>
      <c r="K3" s="388"/>
      <c r="L3" s="388"/>
      <c r="M3" s="388"/>
      <c r="N3" s="496"/>
      <c r="O3" s="389" t="s">
        <v>79</v>
      </c>
      <c r="P3" s="390"/>
      <c r="Q3" s="59" t="str">
        <f>'[1]p1'!$H$4</f>
        <v>2008.1</v>
      </c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6" spans="1:19" s="40" customFormat="1" ht="13.5" customHeight="1">
      <c r="A6" s="382" t="str">
        <f>T('[1]p7'!$C$13:$G$13)</f>
        <v>Antônio Pereira Brandão Júnior</v>
      </c>
      <c r="B6" s="381"/>
      <c r="C6" s="381"/>
      <c r="D6" s="381"/>
      <c r="E6" s="384"/>
      <c r="F6" s="387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9"/>
      <c r="S6" s="39"/>
    </row>
    <row r="7" spans="1:17" s="2" customFormat="1" ht="13.5" customHeight="1">
      <c r="A7" s="447" t="s">
        <v>158</v>
      </c>
      <c r="B7" s="448"/>
      <c r="C7" s="386" t="str">
        <f>IF('[1]p7'!$A$36&lt;&gt;0,'[1]p7'!$A$36,"")</f>
        <v>Universidade Federal de Campina Grande</v>
      </c>
      <c r="D7" s="386"/>
      <c r="E7" s="386"/>
      <c r="F7" s="386"/>
      <c r="G7" s="386"/>
      <c r="H7" s="386"/>
      <c r="I7" s="386"/>
      <c r="J7" s="386"/>
      <c r="K7" s="402"/>
      <c r="L7" s="112" t="s">
        <v>73</v>
      </c>
      <c r="M7" s="491">
        <f>IF('[1]p7'!$K$36&lt;&gt;0,'[1]p7'!$K$36,"")</f>
        <v>38992</v>
      </c>
      <c r="N7" s="492"/>
      <c r="O7" s="112" t="s">
        <v>74</v>
      </c>
      <c r="P7" s="493">
        <f>IF('[1]p7'!$L$36&lt;&gt;0,'[1]p7'!$L$36,"")</f>
      </c>
      <c r="Q7" s="494"/>
    </row>
    <row r="8" spans="1:17" s="2" customFormat="1" ht="13.5" customHeight="1">
      <c r="A8" s="447" t="s">
        <v>247</v>
      </c>
      <c r="B8" s="448"/>
      <c r="C8" s="386" t="str">
        <f>IF('[1]p7'!$A$38&lt;&gt;0,'[1]p7'!$A$38,"")</f>
        <v>Estudo individual sobre álgebra</v>
      </c>
      <c r="D8" s="386"/>
      <c r="E8" s="386"/>
      <c r="F8" s="386"/>
      <c r="G8" s="386"/>
      <c r="H8" s="386"/>
      <c r="I8" s="386"/>
      <c r="J8" s="386"/>
      <c r="K8" s="402"/>
      <c r="L8" s="121" t="s">
        <v>27</v>
      </c>
      <c r="M8" s="386" t="str">
        <f>IF('[1]p7'!$F$36&lt;&gt;0,'[1]p7'!$F$36,"")</f>
        <v>Estudo Individual</v>
      </c>
      <c r="N8" s="386"/>
      <c r="O8" s="386"/>
      <c r="P8" s="386"/>
      <c r="Q8" s="402"/>
    </row>
    <row r="9" spans="1:17" ht="12.75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</row>
    <row r="10" spans="1:19" s="40" customFormat="1" ht="13.5" customHeight="1">
      <c r="A10" s="382" t="str">
        <f>T('[1]p13'!$C$13:$G$13)</f>
        <v>Florence Ayres Campello de Oliveira</v>
      </c>
      <c r="B10" s="381"/>
      <c r="C10" s="381"/>
      <c r="D10" s="381"/>
      <c r="E10" s="384"/>
      <c r="F10" s="387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9"/>
      <c r="S10" s="39"/>
    </row>
    <row r="11" spans="1:17" s="2" customFormat="1" ht="13.5" customHeight="1">
      <c r="A11" s="447" t="s">
        <v>158</v>
      </c>
      <c r="B11" s="448"/>
      <c r="C11" s="386" t="str">
        <f>IF('[1]p13'!$A$36&lt;&gt;0,'[1]p13'!$A$36,"")</f>
        <v>UFCG</v>
      </c>
      <c r="D11" s="386"/>
      <c r="E11" s="386"/>
      <c r="F11" s="386"/>
      <c r="G11" s="386"/>
      <c r="H11" s="386"/>
      <c r="I11" s="386"/>
      <c r="J11" s="386"/>
      <c r="K11" s="402"/>
      <c r="L11" s="112" t="s">
        <v>73</v>
      </c>
      <c r="M11" s="491">
        <f>IF('[1]p13'!$K$36&lt;&gt;0,'[1]p13'!$K$36,"")</f>
        <v>38970</v>
      </c>
      <c r="N11" s="492"/>
      <c r="O11" s="112" t="s">
        <v>74</v>
      </c>
      <c r="P11" s="493">
        <f>IF('[1]p13'!$L$36&lt;&gt;0,'[1]p13'!$L$36,"")</f>
      </c>
      <c r="Q11" s="494"/>
    </row>
    <row r="12" spans="1:17" s="2" customFormat="1" ht="13.5" customHeight="1">
      <c r="A12" s="447" t="s">
        <v>247</v>
      </c>
      <c r="B12" s="448"/>
      <c r="C12" s="386" t="str">
        <f>IF('[1]p13'!$A$38&lt;&gt;0,'[1]p13'!$A$38,"")</f>
        <v>Grupo de estudos sobre o ensino de fração para alunos do Ensino Fundamental</v>
      </c>
      <c r="D12" s="386"/>
      <c r="E12" s="386"/>
      <c r="F12" s="386"/>
      <c r="G12" s="386"/>
      <c r="H12" s="386"/>
      <c r="I12" s="386"/>
      <c r="J12" s="386"/>
      <c r="K12" s="402"/>
      <c r="L12" s="121" t="s">
        <v>27</v>
      </c>
      <c r="M12" s="386" t="str">
        <f>IF('[1]p13'!$F$36&lt;&gt;0,'[1]p13'!$F$36,"")</f>
        <v>Grupo de estudos</v>
      </c>
      <c r="N12" s="386"/>
      <c r="O12" s="386"/>
      <c r="P12" s="386"/>
      <c r="Q12" s="402"/>
    </row>
    <row r="13" spans="1:17" ht="12.75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</row>
    <row r="14" spans="1:19" s="40" customFormat="1" ht="13.5" customHeight="1">
      <c r="A14" s="382" t="str">
        <f>T('[1]p15'!$C$13:$G$13)</f>
        <v>Francisco Júlio Sobreira de A. Corrêa</v>
      </c>
      <c r="B14" s="381"/>
      <c r="C14" s="381"/>
      <c r="D14" s="381"/>
      <c r="E14" s="384"/>
      <c r="F14" s="387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9"/>
      <c r="S14" s="39"/>
    </row>
    <row r="15" spans="1:17" s="2" customFormat="1" ht="13.5" customHeight="1">
      <c r="A15" s="447" t="s">
        <v>158</v>
      </c>
      <c r="B15" s="448"/>
      <c r="C15" s="386" t="str">
        <f>IF('[1]p15'!$A$36&lt;&gt;0,'[1]p15'!$A$36,"")</f>
        <v>Métodos Variacionais</v>
      </c>
      <c r="D15" s="386"/>
      <c r="E15" s="386"/>
      <c r="F15" s="386"/>
      <c r="G15" s="386"/>
      <c r="H15" s="386"/>
      <c r="I15" s="386"/>
      <c r="J15" s="386"/>
      <c r="K15" s="402"/>
      <c r="L15" s="112" t="s">
        <v>73</v>
      </c>
      <c r="M15" s="491">
        <f>IF('[1]p15'!$K$36&lt;&gt;0,'[1]p15'!$K$36,"")</f>
        <v>39569</v>
      </c>
      <c r="N15" s="492"/>
      <c r="O15" s="112" t="s">
        <v>74</v>
      </c>
      <c r="P15" s="493" t="str">
        <f>IF('[1]p15'!$L$36&lt;&gt;0,'[1]p15'!$L$36,"")</f>
        <v>31/08?2008</v>
      </c>
      <c r="Q15" s="494"/>
    </row>
    <row r="16" spans="1:17" s="2" customFormat="1" ht="13.5" customHeight="1">
      <c r="A16" s="447" t="s">
        <v>247</v>
      </c>
      <c r="B16" s="448"/>
      <c r="C16" s="386" t="str">
        <f>IF('[1]p15'!$A$38&lt;&gt;0,'[1]p15'!$A$38,"")</f>
        <v>Seminário com o Prof. Marcelo Carvalho Ferreira</v>
      </c>
      <c r="D16" s="386"/>
      <c r="E16" s="386"/>
      <c r="F16" s="386"/>
      <c r="G16" s="386"/>
      <c r="H16" s="386"/>
      <c r="I16" s="386"/>
      <c r="J16" s="386"/>
      <c r="K16" s="402"/>
      <c r="L16" s="121" t="s">
        <v>27</v>
      </c>
      <c r="M16" s="386" t="str">
        <f>IF('[1]p15'!$F$36&lt;&gt;0,'[1]p15'!$F$36,"")</f>
        <v>Seminário Interno</v>
      </c>
      <c r="N16" s="386"/>
      <c r="O16" s="386"/>
      <c r="P16" s="386"/>
      <c r="Q16" s="402"/>
    </row>
    <row r="17" spans="1:17" ht="12.75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</row>
    <row r="18" spans="1:19" s="40" customFormat="1" ht="13.5" customHeight="1">
      <c r="A18" s="382" t="str">
        <f>T('[1]p16'!$C$13:$G$13)</f>
        <v>Gilberto da Silva Matos</v>
      </c>
      <c r="B18" s="381"/>
      <c r="C18" s="381"/>
      <c r="D18" s="381"/>
      <c r="E18" s="384"/>
      <c r="F18" s="387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9"/>
      <c r="S18" s="39"/>
    </row>
    <row r="19" spans="1:17" s="2" customFormat="1" ht="13.5" customHeight="1">
      <c r="A19" s="447" t="s">
        <v>158</v>
      </c>
      <c r="B19" s="448"/>
      <c r="C19" s="386" t="str">
        <f>IF('[1]p16'!$A$36&lt;&gt;0,'[1]p16'!$A$36,"")</f>
        <v>UFCG</v>
      </c>
      <c r="D19" s="386"/>
      <c r="E19" s="386"/>
      <c r="F19" s="386"/>
      <c r="G19" s="386"/>
      <c r="H19" s="386"/>
      <c r="I19" s="386"/>
      <c r="J19" s="386"/>
      <c r="K19" s="402"/>
      <c r="L19" s="112" t="s">
        <v>73</v>
      </c>
      <c r="M19" s="491">
        <f>IF('[1]p16'!$K$36&lt;&gt;0,'[1]p16'!$K$36,"")</f>
        <v>39507</v>
      </c>
      <c r="N19" s="492"/>
      <c r="O19" s="112" t="s">
        <v>74</v>
      </c>
      <c r="P19" s="493">
        <f>IF('[1]p16'!$L$36&lt;&gt;0,'[1]p16'!$L$36,"")</f>
        <v>39802</v>
      </c>
      <c r="Q19" s="494"/>
    </row>
    <row r="20" spans="1:17" s="2" customFormat="1" ht="13.5" customHeight="1">
      <c r="A20" s="447" t="s">
        <v>247</v>
      </c>
      <c r="B20" s="448"/>
      <c r="C20" s="386" t="str">
        <f>IF('[1]p16'!$A$38&lt;&gt;0,'[1]p16'!$A$38,"")</f>
        <v>Desenvolvimento da Tese de Doutorado IME/USP</v>
      </c>
      <c r="D20" s="386"/>
      <c r="E20" s="386"/>
      <c r="F20" s="386"/>
      <c r="G20" s="386"/>
      <c r="H20" s="386"/>
      <c r="I20" s="386"/>
      <c r="J20" s="386"/>
      <c r="K20" s="402"/>
      <c r="L20" s="121" t="s">
        <v>27</v>
      </c>
      <c r="M20" s="386" t="str">
        <f>IF('[1]p16'!$F$36&lt;&gt;0,'[1]p16'!$F$36,"")</f>
        <v>Curso de doutorado vinculado a UFCG ou não</v>
      </c>
      <c r="N20" s="386"/>
      <c r="O20" s="386"/>
      <c r="P20" s="386"/>
      <c r="Q20" s="402"/>
    </row>
    <row r="21" spans="1:17" ht="12.75">
      <c r="A21" s="489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</row>
    <row r="22" spans="1:17" s="2" customFormat="1" ht="13.5" customHeight="1">
      <c r="A22" s="447" t="s">
        <v>158</v>
      </c>
      <c r="B22" s="448"/>
      <c r="C22" s="386" t="str">
        <f>IF('[1]p16'!$A$40&lt;&gt;0,'[1]p16'!$A$40,"")</f>
        <v>UFCG e UFC</v>
      </c>
      <c r="D22" s="386"/>
      <c r="E22" s="386"/>
      <c r="F22" s="386"/>
      <c r="G22" s="386"/>
      <c r="H22" s="386"/>
      <c r="I22" s="386"/>
      <c r="J22" s="386"/>
      <c r="K22" s="402"/>
      <c r="L22" s="112" t="s">
        <v>73</v>
      </c>
      <c r="M22" s="491">
        <f>IF('[1]p16'!$K$40&lt;&gt;0,'[1]p16'!$K$40,"")</f>
        <v>39672</v>
      </c>
      <c r="N22" s="492"/>
      <c r="O22" s="112" t="s">
        <v>74</v>
      </c>
      <c r="P22" s="493">
        <f>IF('[1]p16'!$L$40&lt;&gt;0,'[1]p16'!$L$40,"")</f>
        <v>39674</v>
      </c>
      <c r="Q22" s="494"/>
    </row>
    <row r="23" spans="1:17" s="2" customFormat="1" ht="13.5" customHeight="1">
      <c r="A23" s="447" t="s">
        <v>247</v>
      </c>
      <c r="B23" s="448"/>
      <c r="C23" s="386" t="str">
        <f>IF('[1]p16'!$A$42&lt;&gt;0,'[1]p16'!$A$42,"")</f>
        <v>Estudo de artigos relacionados à influência local condicional junto ao grupo de pesquisa de regressão.</v>
      </c>
      <c r="D23" s="386"/>
      <c r="E23" s="386"/>
      <c r="F23" s="386"/>
      <c r="G23" s="386"/>
      <c r="H23" s="386"/>
      <c r="I23" s="386"/>
      <c r="J23" s="386"/>
      <c r="K23" s="402"/>
      <c r="L23" s="121" t="s">
        <v>27</v>
      </c>
      <c r="M23" s="386" t="str">
        <f>IF('[1]p16'!$F$40&lt;&gt;0,'[1]p16'!$F$40,"")</f>
        <v>Grupo de estudos</v>
      </c>
      <c r="N23" s="386"/>
      <c r="O23" s="386"/>
      <c r="P23" s="386"/>
      <c r="Q23" s="402"/>
    </row>
    <row r="24" spans="1:17" ht="12.75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</row>
    <row r="25" spans="1:19" s="40" customFormat="1" ht="13.5" customHeight="1">
      <c r="A25" s="382" t="str">
        <f>T('[1]p24'!$C$13:$G$13)</f>
        <v>Luiz Mendes Albuquerque Neto</v>
      </c>
      <c r="B25" s="381"/>
      <c r="C25" s="381"/>
      <c r="D25" s="381"/>
      <c r="E25" s="384"/>
      <c r="F25" s="387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9"/>
      <c r="S25" s="39"/>
    </row>
    <row r="26" spans="1:17" s="2" customFormat="1" ht="13.5" customHeight="1">
      <c r="A26" s="447" t="s">
        <v>158</v>
      </c>
      <c r="B26" s="448"/>
      <c r="C26" s="386" t="str">
        <f>IF('[1]p24'!$A$36&lt;&gt;0,'[1]p24'!$A$36,"")</f>
        <v>UFCG</v>
      </c>
      <c r="D26" s="386"/>
      <c r="E26" s="386"/>
      <c r="F26" s="386"/>
      <c r="G26" s="386"/>
      <c r="H26" s="386"/>
      <c r="I26" s="386"/>
      <c r="J26" s="386"/>
      <c r="K26" s="402"/>
      <c r="L26" s="112" t="s">
        <v>73</v>
      </c>
      <c r="M26" s="491">
        <f>IF('[1]p24'!$K$36&lt;&gt;0,'[1]p24'!$K$36,"")</f>
        <v>39560</v>
      </c>
      <c r="N26" s="492"/>
      <c r="O26" s="112" t="s">
        <v>74</v>
      </c>
      <c r="P26" s="493" t="str">
        <f>IF('[1]p24'!$L$36&lt;&gt;0,'[1]p24'!$L$36,"")</f>
        <v>andamento</v>
      </c>
      <c r="Q26" s="494"/>
    </row>
    <row r="27" spans="1:17" s="2" customFormat="1" ht="13.5" customHeight="1">
      <c r="A27" s="447" t="s">
        <v>247</v>
      </c>
      <c r="B27" s="448"/>
      <c r="C27" s="386" t="str">
        <f>IF('[1]p24'!$A$38&lt;&gt;0,'[1]p24'!$A$38,"")</f>
        <v>O momento angular na mecânica quântica/grupos e álgebras de Lie</v>
      </c>
      <c r="D27" s="386"/>
      <c r="E27" s="386"/>
      <c r="F27" s="386"/>
      <c r="G27" s="386"/>
      <c r="H27" s="386"/>
      <c r="I27" s="386"/>
      <c r="J27" s="386"/>
      <c r="K27" s="402"/>
      <c r="L27" s="121" t="s">
        <v>27</v>
      </c>
      <c r="M27" s="386" t="str">
        <f>IF('[1]p24'!$F$36&lt;&gt;0,'[1]p24'!$F$36,"")</f>
        <v>Estudo Individual</v>
      </c>
      <c r="N27" s="386"/>
      <c r="O27" s="386"/>
      <c r="P27" s="386"/>
      <c r="Q27" s="402"/>
    </row>
    <row r="28" spans="1:17" ht="12.75">
      <c r="A28" s="490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</row>
    <row r="29" spans="1:19" s="40" customFormat="1" ht="13.5" customHeight="1">
      <c r="A29" s="382" t="str">
        <f>T('[1]p25'!$C$13:$G$13)</f>
        <v>Marcelo Carvalho Ferreira</v>
      </c>
      <c r="B29" s="381"/>
      <c r="C29" s="381"/>
      <c r="D29" s="381"/>
      <c r="E29" s="384"/>
      <c r="F29" s="387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9"/>
      <c r="S29" s="39"/>
    </row>
    <row r="30" spans="1:17" s="2" customFormat="1" ht="13.5" customHeight="1">
      <c r="A30" s="447" t="s">
        <v>158</v>
      </c>
      <c r="B30" s="448"/>
      <c r="C30" s="386" t="str">
        <f>IF('[1]p25'!$A$36&lt;&gt;0,'[1]p25'!$A$36,"")</f>
        <v>UFCG</v>
      </c>
      <c r="D30" s="386"/>
      <c r="E30" s="386"/>
      <c r="F30" s="386"/>
      <c r="G30" s="386"/>
      <c r="H30" s="386"/>
      <c r="I30" s="386"/>
      <c r="J30" s="386"/>
      <c r="K30" s="402"/>
      <c r="L30" s="112" t="s">
        <v>73</v>
      </c>
      <c r="M30" s="491">
        <f>IF('[1]p25'!$K$36&lt;&gt;0,'[1]p25'!$K$36,"")</f>
        <v>39569</v>
      </c>
      <c r="N30" s="492"/>
      <c r="O30" s="112" t="s">
        <v>74</v>
      </c>
      <c r="P30" s="493">
        <f>IF('[1]p25'!$L$36&lt;&gt;0,'[1]p25'!$L$36,"")</f>
        <v>39691</v>
      </c>
      <c r="Q30" s="494"/>
    </row>
    <row r="31" spans="1:17" s="2" customFormat="1" ht="13.5" customHeight="1">
      <c r="A31" s="447" t="s">
        <v>247</v>
      </c>
      <c r="B31" s="448"/>
      <c r="C31" s="386" t="str">
        <f>IF('[1]p25'!$A$38&lt;&gt;0,'[1]p25'!$A$38,"")</f>
        <v>Seminário de Métodos Variacionais</v>
      </c>
      <c r="D31" s="386"/>
      <c r="E31" s="386"/>
      <c r="F31" s="386"/>
      <c r="G31" s="386"/>
      <c r="H31" s="386"/>
      <c r="I31" s="386"/>
      <c r="J31" s="386"/>
      <c r="K31" s="402"/>
      <c r="L31" s="121" t="s">
        <v>27</v>
      </c>
      <c r="M31" s="386" t="str">
        <f>IF('[1]p25'!$F$36&lt;&gt;0,'[1]p25'!$F$36,"")</f>
        <v>Seminário Interno</v>
      </c>
      <c r="N31" s="386"/>
      <c r="O31" s="386"/>
      <c r="P31" s="386"/>
      <c r="Q31" s="402"/>
    </row>
    <row r="32" spans="1:17" ht="12.75">
      <c r="A32" s="489"/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</row>
    <row r="33" spans="1:17" s="2" customFormat="1" ht="13.5" customHeight="1">
      <c r="A33" s="447" t="s">
        <v>158</v>
      </c>
      <c r="B33" s="448"/>
      <c r="C33" s="386" t="str">
        <f>IF('[1]p25'!$A$40&lt;&gt;0,'[1]p25'!$A$40,"")</f>
        <v>UFCG</v>
      </c>
      <c r="D33" s="386"/>
      <c r="E33" s="386"/>
      <c r="F33" s="386"/>
      <c r="G33" s="386"/>
      <c r="H33" s="386"/>
      <c r="I33" s="386"/>
      <c r="J33" s="386"/>
      <c r="K33" s="402"/>
      <c r="L33" s="112" t="s">
        <v>73</v>
      </c>
      <c r="M33" s="491">
        <f>IF('[1]p25'!$K$40&lt;&gt;0,'[1]p25'!$K$40,"")</f>
        <v>39569</v>
      </c>
      <c r="N33" s="492"/>
      <c r="O33" s="112" t="s">
        <v>74</v>
      </c>
      <c r="P33" s="493">
        <f>IF('[1]p25'!$L$40&lt;&gt;0,'[1]p25'!$L$40,"")</f>
        <v>39691</v>
      </c>
      <c r="Q33" s="494"/>
    </row>
    <row r="34" spans="1:17" s="2" customFormat="1" ht="13.5" customHeight="1">
      <c r="A34" s="447" t="s">
        <v>247</v>
      </c>
      <c r="B34" s="448"/>
      <c r="C34" s="386" t="str">
        <f>IF('[1]p25'!$A$42&lt;&gt;0,'[1]p25'!$A$42,"")</f>
        <v>Estudos individuais em Equações Diferenciais Parciais</v>
      </c>
      <c r="D34" s="386"/>
      <c r="E34" s="386"/>
      <c r="F34" s="386"/>
      <c r="G34" s="386"/>
      <c r="H34" s="386"/>
      <c r="I34" s="386"/>
      <c r="J34" s="386"/>
      <c r="K34" s="402"/>
      <c r="L34" s="121" t="s">
        <v>27</v>
      </c>
      <c r="M34" s="386" t="str">
        <f>IF('[1]p25'!$F$40&lt;&gt;0,'[1]p25'!$F$40,"")</f>
        <v>Estudo Individual</v>
      </c>
      <c r="N34" s="386"/>
      <c r="O34" s="386"/>
      <c r="P34" s="386"/>
      <c r="Q34" s="402"/>
    </row>
    <row r="35" spans="1:17" ht="12.75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</row>
    <row r="36" spans="1:17" s="2" customFormat="1" ht="13.5" customHeight="1">
      <c r="A36" s="447" t="s">
        <v>158</v>
      </c>
      <c r="B36" s="448"/>
      <c r="C36" s="386" t="str">
        <f>IF('[1]p25'!$A$44&lt;&gt;0,'[1]p25'!$A$44,"")</f>
        <v>UFCG</v>
      </c>
      <c r="D36" s="386"/>
      <c r="E36" s="386"/>
      <c r="F36" s="386"/>
      <c r="G36" s="386"/>
      <c r="H36" s="386"/>
      <c r="I36" s="386"/>
      <c r="J36" s="386"/>
      <c r="K36" s="402"/>
      <c r="L36" s="112" t="s">
        <v>73</v>
      </c>
      <c r="M36" s="491">
        <f>IF('[1]p25'!$K$44&lt;&gt;0,'[1]p25'!$K$44,"")</f>
      </c>
      <c r="N36" s="492"/>
      <c r="O36" s="112" t="s">
        <v>74</v>
      </c>
      <c r="P36" s="493">
        <f>IF('[1]p25'!$L$44&lt;&gt;0,'[1]p25'!$L$44,"")</f>
      </c>
      <c r="Q36" s="494"/>
    </row>
    <row r="37" spans="1:17" s="2" customFormat="1" ht="13.5" customHeight="1">
      <c r="A37" s="447" t="s">
        <v>247</v>
      </c>
      <c r="B37" s="448"/>
      <c r="C37" s="386" t="str">
        <f>IF('[1]p25'!$A$46&lt;&gt;0,'[1]p25'!$A$46,"")</f>
        <v>Aluno ouvinte na disciplina "Introdução às Soluções Fracas para EDP's" /Profa Bianca Moreli Caretta</v>
      </c>
      <c r="D37" s="386"/>
      <c r="E37" s="386"/>
      <c r="F37" s="386"/>
      <c r="G37" s="386"/>
      <c r="H37" s="386"/>
      <c r="I37" s="386"/>
      <c r="J37" s="386"/>
      <c r="K37" s="402"/>
      <c r="L37" s="121" t="s">
        <v>27</v>
      </c>
      <c r="M37" s="386" t="str">
        <f>IF('[1]p25'!$F$44&lt;&gt;0,'[1]p25'!$F$44,"")</f>
        <v>Preparação para o doutorado</v>
      </c>
      <c r="N37" s="386"/>
      <c r="O37" s="386"/>
      <c r="P37" s="386"/>
      <c r="Q37" s="402"/>
    </row>
    <row r="38" spans="1:17" ht="12.75">
      <c r="A38" s="489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</row>
    <row r="39" spans="1:19" s="40" customFormat="1" ht="13.5" customHeight="1">
      <c r="A39" s="382" t="str">
        <f>T('[1]p26'!$C$13:$G$13)</f>
        <v>Marco Aurélio Soares Souto</v>
      </c>
      <c r="B39" s="381"/>
      <c r="C39" s="381"/>
      <c r="D39" s="381"/>
      <c r="E39" s="384"/>
      <c r="F39" s="387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9"/>
      <c r="S39" s="39"/>
    </row>
    <row r="40" spans="1:17" s="2" customFormat="1" ht="13.5" customHeight="1">
      <c r="A40" s="447" t="s">
        <v>158</v>
      </c>
      <c r="B40" s="448"/>
      <c r="C40" s="386" t="str">
        <f>IF('[1]p26'!$A$36&lt;&gt;0,'[1]p26'!$A$36,"")</f>
        <v>UAME - UFCG</v>
      </c>
      <c r="D40" s="386"/>
      <c r="E40" s="386"/>
      <c r="F40" s="386"/>
      <c r="G40" s="386"/>
      <c r="H40" s="386"/>
      <c r="I40" s="386"/>
      <c r="J40" s="386"/>
      <c r="K40" s="402"/>
      <c r="L40" s="112" t="s">
        <v>73</v>
      </c>
      <c r="M40" s="491">
        <f>IF('[1]p26'!$K$36&lt;&gt;0,'[1]p26'!$K$36,"")</f>
      </c>
      <c r="N40" s="492"/>
      <c r="O40" s="112" t="s">
        <v>74</v>
      </c>
      <c r="P40" s="493">
        <f>IF('[1]p26'!$L$36&lt;&gt;0,'[1]p26'!$L$36,"")</f>
      </c>
      <c r="Q40" s="494"/>
    </row>
    <row r="41" spans="1:17" s="2" customFormat="1" ht="13.5" customHeight="1">
      <c r="A41" s="447" t="s">
        <v>247</v>
      </c>
      <c r="B41" s="448"/>
      <c r="C41" s="386" t="str">
        <f>IF('[1]p26'!$A$38&lt;&gt;0,'[1]p26'!$A$38,"")</f>
        <v>Pesquisa em Equações Diferenciais Parciais Elípticas: Soluções Multibumps</v>
      </c>
      <c r="D41" s="386"/>
      <c r="E41" s="386"/>
      <c r="F41" s="386"/>
      <c r="G41" s="386"/>
      <c r="H41" s="386"/>
      <c r="I41" s="386"/>
      <c r="J41" s="386"/>
      <c r="K41" s="402"/>
      <c r="L41" s="121" t="s">
        <v>27</v>
      </c>
      <c r="M41" s="386" t="str">
        <f>IF('[1]p26'!$F$36&lt;&gt;0,'[1]p26'!$F$36,"")</f>
        <v>Seminário Interno</v>
      </c>
      <c r="N41" s="386"/>
      <c r="O41" s="386"/>
      <c r="P41" s="386"/>
      <c r="Q41" s="402"/>
    </row>
    <row r="42" spans="1:17" ht="12.75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</row>
    <row r="43" spans="1:19" s="40" customFormat="1" ht="13.5" customHeight="1">
      <c r="A43" s="382" t="str">
        <f>T('[1]p27'!$C$13:$G$13)</f>
        <v>Marisa de Sales Monteiro</v>
      </c>
      <c r="B43" s="381"/>
      <c r="C43" s="381"/>
      <c r="D43" s="381"/>
      <c r="E43" s="384"/>
      <c r="F43" s="387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9"/>
      <c r="S43" s="39"/>
    </row>
    <row r="44" spans="1:17" s="2" customFormat="1" ht="13.5" customHeight="1">
      <c r="A44" s="447" t="s">
        <v>158</v>
      </c>
      <c r="B44" s="448"/>
      <c r="C44" s="386" t="str">
        <f>IF('[1]p27'!$A$36&lt;&gt;0,'[1]p27'!$A$36,"")</f>
        <v>UFCG</v>
      </c>
      <c r="D44" s="386"/>
      <c r="E44" s="386"/>
      <c r="F44" s="386"/>
      <c r="G44" s="386"/>
      <c r="H44" s="386"/>
      <c r="I44" s="386"/>
      <c r="J44" s="386"/>
      <c r="K44" s="402"/>
      <c r="L44" s="112" t="s">
        <v>73</v>
      </c>
      <c r="M44" s="491">
        <f>IF('[1]p27'!$K$36&lt;&gt;0,'[1]p27'!$K$36,"")</f>
        <v>39048</v>
      </c>
      <c r="N44" s="492"/>
      <c r="O44" s="112" t="s">
        <v>74</v>
      </c>
      <c r="P44" s="493">
        <f>IF('[1]p27'!$L$36&lt;&gt;0,'[1]p27'!$L$36,"")</f>
        <v>39577</v>
      </c>
      <c r="Q44" s="494"/>
    </row>
    <row r="45" spans="1:17" s="2" customFormat="1" ht="13.5" customHeight="1">
      <c r="A45" s="447" t="s">
        <v>247</v>
      </c>
      <c r="B45" s="448"/>
      <c r="C45" s="386" t="str">
        <f>IF('[1]p27'!$A$38&lt;&gt;0,'[1]p27'!$A$38,"")</f>
        <v>Estudo sobre Álgebra</v>
      </c>
      <c r="D45" s="386"/>
      <c r="E45" s="386"/>
      <c r="F45" s="386"/>
      <c r="G45" s="386"/>
      <c r="H45" s="386"/>
      <c r="I45" s="386"/>
      <c r="J45" s="386"/>
      <c r="K45" s="402"/>
      <c r="L45" s="121" t="s">
        <v>27</v>
      </c>
      <c r="M45" s="386" t="str">
        <f>IF('[1]p27'!$F$36&lt;&gt;0,'[1]p27'!$F$36,"")</f>
        <v>Estudo Individual</v>
      </c>
      <c r="N45" s="386"/>
      <c r="O45" s="386"/>
      <c r="P45" s="386"/>
      <c r="Q45" s="402"/>
    </row>
    <row r="46" spans="1:17" ht="12.75">
      <c r="A46" s="489"/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</row>
    <row r="47" spans="1:19" s="40" customFormat="1" ht="13.5" customHeight="1">
      <c r="A47" s="382" t="str">
        <f>T('[1]p33'!$C$13:$G$13)</f>
        <v>Sérgio Mota Alves</v>
      </c>
      <c r="B47" s="381"/>
      <c r="C47" s="381"/>
      <c r="D47" s="381"/>
      <c r="E47" s="384"/>
      <c r="F47" s="387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9"/>
      <c r="S47" s="39"/>
    </row>
    <row r="48" spans="1:17" s="2" customFormat="1" ht="13.5" customHeight="1">
      <c r="A48" s="447" t="s">
        <v>158</v>
      </c>
      <c r="B48" s="448"/>
      <c r="C48" s="386" t="str">
        <f>IF('[1]p33'!$A$36&lt;&gt;0,'[1]p33'!$A$36,"")</f>
        <v>Universidade Federal de Campina Grande</v>
      </c>
      <c r="D48" s="386"/>
      <c r="E48" s="386"/>
      <c r="F48" s="386"/>
      <c r="G48" s="386"/>
      <c r="H48" s="386"/>
      <c r="I48" s="386"/>
      <c r="J48" s="386"/>
      <c r="K48" s="402"/>
      <c r="L48" s="112" t="s">
        <v>73</v>
      </c>
      <c r="M48" s="491">
        <f>IF('[1]p33'!$K$36&lt;&gt;0,'[1]p33'!$K$36,"")</f>
        <v>38992</v>
      </c>
      <c r="N48" s="492"/>
      <c r="O48" s="112" t="s">
        <v>74</v>
      </c>
      <c r="P48" s="493">
        <f>IF('[1]p33'!$L$36&lt;&gt;0,'[1]p33'!$L$36,"")</f>
      </c>
      <c r="Q48" s="494"/>
    </row>
    <row r="49" spans="1:17" s="2" customFormat="1" ht="13.5" customHeight="1">
      <c r="A49" s="447" t="s">
        <v>247</v>
      </c>
      <c r="B49" s="448"/>
      <c r="C49" s="386" t="str">
        <f>IF('[1]p33'!$A$38&lt;&gt;0,'[1]p33'!$A$38,"")</f>
        <v>Estudo individual sobre álgebra</v>
      </c>
      <c r="D49" s="386"/>
      <c r="E49" s="386"/>
      <c r="F49" s="386"/>
      <c r="G49" s="386"/>
      <c r="H49" s="386"/>
      <c r="I49" s="386"/>
      <c r="J49" s="386"/>
      <c r="K49" s="402"/>
      <c r="L49" s="121" t="s">
        <v>27</v>
      </c>
      <c r="M49" s="386" t="str">
        <f>IF('[1]p33'!$F$36&lt;&gt;0,'[1]p33'!$F$36,"")</f>
        <v>Estudo Individual</v>
      </c>
      <c r="N49" s="386"/>
      <c r="O49" s="386"/>
      <c r="P49" s="386"/>
      <c r="Q49" s="402"/>
    </row>
    <row r="50" spans="1:17" ht="12.75">
      <c r="A50" s="489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</row>
    <row r="51" spans="1:19" s="40" customFormat="1" ht="13.5" customHeight="1">
      <c r="A51" s="382" t="str">
        <f>T('[1]p43'!$C$13:$G$13)</f>
        <v>José Iraponil Costa Lima</v>
      </c>
      <c r="B51" s="381"/>
      <c r="C51" s="381"/>
      <c r="D51" s="381"/>
      <c r="E51" s="384"/>
      <c r="F51" s="387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9"/>
      <c r="S51" s="39"/>
    </row>
    <row r="52" spans="1:17" s="2" customFormat="1" ht="13.5" customHeight="1">
      <c r="A52" s="447" t="s">
        <v>158</v>
      </c>
      <c r="B52" s="448"/>
      <c r="C52" s="386" t="str">
        <f>IF('[1]p43'!$A$36&lt;&gt;0,'[1]p43'!$A$36,"")</f>
        <v>Universidade Federal de Campina Grande</v>
      </c>
      <c r="D52" s="386"/>
      <c r="E52" s="386"/>
      <c r="F52" s="386"/>
      <c r="G52" s="386"/>
      <c r="H52" s="386"/>
      <c r="I52" s="386"/>
      <c r="J52" s="386"/>
      <c r="K52" s="402"/>
      <c r="L52" s="112" t="s">
        <v>73</v>
      </c>
      <c r="M52" s="491">
        <f>IF('[1]p43'!$K$36&lt;&gt;0,'[1]p43'!$K$36,"")</f>
        <v>39153</v>
      </c>
      <c r="N52" s="492"/>
      <c r="O52" s="112" t="s">
        <v>74</v>
      </c>
      <c r="P52" s="493">
        <f>IF('[1]p43'!$L$36&lt;&gt;0,'[1]p43'!$L$36,"")</f>
      </c>
      <c r="Q52" s="494"/>
    </row>
    <row r="53" spans="1:17" s="2" customFormat="1" ht="13.5" customHeight="1">
      <c r="A53" s="447" t="s">
        <v>247</v>
      </c>
      <c r="B53" s="448"/>
      <c r="C53" s="386" t="str">
        <f>IF('[1]p43'!$A$38&lt;&gt;0,'[1]p43'!$A$38,"")</f>
        <v>Preparação da dissertação</v>
      </c>
      <c r="D53" s="386"/>
      <c r="E53" s="386"/>
      <c r="F53" s="386"/>
      <c r="G53" s="386"/>
      <c r="H53" s="386"/>
      <c r="I53" s="386"/>
      <c r="J53" s="386"/>
      <c r="K53" s="402"/>
      <c r="L53" s="121" t="s">
        <v>27</v>
      </c>
      <c r="M53" s="386" t="str">
        <f>IF('[1]p43'!$F$36&lt;&gt;0,'[1]p43'!$F$36,"")</f>
        <v>Curso de mestrado vinculado a UFCG ou não</v>
      </c>
      <c r="N53" s="386"/>
      <c r="O53" s="386"/>
      <c r="P53" s="386"/>
      <c r="Q53" s="402"/>
    </row>
  </sheetData>
  <sheetProtection password="CEFE" sheet="1" objects="1" scenarios="1"/>
  <mergeCells count="129">
    <mergeCell ref="P48:Q48"/>
    <mergeCell ref="A53:B53"/>
    <mergeCell ref="C53:K53"/>
    <mergeCell ref="M53:Q53"/>
    <mergeCell ref="A51:E51"/>
    <mergeCell ref="F51:Q51"/>
    <mergeCell ref="A52:B52"/>
    <mergeCell ref="C52:K52"/>
    <mergeCell ref="M52:N52"/>
    <mergeCell ref="P52:Q52"/>
    <mergeCell ref="M44:N44"/>
    <mergeCell ref="P44:Q44"/>
    <mergeCell ref="A49:B49"/>
    <mergeCell ref="C49:K49"/>
    <mergeCell ref="M49:Q49"/>
    <mergeCell ref="A47:E47"/>
    <mergeCell ref="F47:Q47"/>
    <mergeCell ref="A48:B48"/>
    <mergeCell ref="C48:K48"/>
    <mergeCell ref="M48:N48"/>
    <mergeCell ref="C40:K40"/>
    <mergeCell ref="M40:N40"/>
    <mergeCell ref="P40:Q40"/>
    <mergeCell ref="A45:B45"/>
    <mergeCell ref="C45:K45"/>
    <mergeCell ref="M45:Q45"/>
    <mergeCell ref="A43:E43"/>
    <mergeCell ref="F43:Q43"/>
    <mergeCell ref="A44:B44"/>
    <mergeCell ref="C44:K44"/>
    <mergeCell ref="A37:B37"/>
    <mergeCell ref="C37:K37"/>
    <mergeCell ref="M37:Q37"/>
    <mergeCell ref="A36:B36"/>
    <mergeCell ref="C36:K36"/>
    <mergeCell ref="M36:N36"/>
    <mergeCell ref="P36:Q36"/>
    <mergeCell ref="A34:B34"/>
    <mergeCell ref="C34:K34"/>
    <mergeCell ref="M34:Q34"/>
    <mergeCell ref="A35:Q35"/>
    <mergeCell ref="A33:B33"/>
    <mergeCell ref="C33:K33"/>
    <mergeCell ref="M33:N33"/>
    <mergeCell ref="P33:Q33"/>
    <mergeCell ref="A31:B31"/>
    <mergeCell ref="C31:K31"/>
    <mergeCell ref="M31:Q31"/>
    <mergeCell ref="A32:Q32"/>
    <mergeCell ref="A29:E29"/>
    <mergeCell ref="F29:Q29"/>
    <mergeCell ref="A30:B30"/>
    <mergeCell ref="C30:K30"/>
    <mergeCell ref="M30:N30"/>
    <mergeCell ref="P30:Q30"/>
    <mergeCell ref="A27:B27"/>
    <mergeCell ref="C27:K27"/>
    <mergeCell ref="M27:Q27"/>
    <mergeCell ref="A25:E25"/>
    <mergeCell ref="F25:Q25"/>
    <mergeCell ref="A26:B26"/>
    <mergeCell ref="C26:K26"/>
    <mergeCell ref="M26:N26"/>
    <mergeCell ref="P26:Q26"/>
    <mergeCell ref="A23:B23"/>
    <mergeCell ref="C23:K23"/>
    <mergeCell ref="M23:Q23"/>
    <mergeCell ref="A22:B22"/>
    <mergeCell ref="C22:K22"/>
    <mergeCell ref="M22:N22"/>
    <mergeCell ref="P22:Q22"/>
    <mergeCell ref="A20:B20"/>
    <mergeCell ref="C20:K20"/>
    <mergeCell ref="M20:Q20"/>
    <mergeCell ref="A21:Q21"/>
    <mergeCell ref="A19:B19"/>
    <mergeCell ref="C19:K19"/>
    <mergeCell ref="M19:N19"/>
    <mergeCell ref="P19:Q19"/>
    <mergeCell ref="C15:K15"/>
    <mergeCell ref="M15:N15"/>
    <mergeCell ref="P15:Q15"/>
    <mergeCell ref="A18:E18"/>
    <mergeCell ref="F18:Q18"/>
    <mergeCell ref="F3:N3"/>
    <mergeCell ref="A4:Q5"/>
    <mergeCell ref="A1:Q1"/>
    <mergeCell ref="O3:P3"/>
    <mergeCell ref="A2:Q2"/>
    <mergeCell ref="A3:E3"/>
    <mergeCell ref="A6:E6"/>
    <mergeCell ref="F6:Q6"/>
    <mergeCell ref="A7:B7"/>
    <mergeCell ref="C7:K7"/>
    <mergeCell ref="M7:N7"/>
    <mergeCell ref="P7:Q7"/>
    <mergeCell ref="A8:B8"/>
    <mergeCell ref="C8:K8"/>
    <mergeCell ref="M8:Q8"/>
    <mergeCell ref="A10:E10"/>
    <mergeCell ref="F10:Q10"/>
    <mergeCell ref="A9:Q9"/>
    <mergeCell ref="A12:B12"/>
    <mergeCell ref="C12:K12"/>
    <mergeCell ref="M12:Q12"/>
    <mergeCell ref="A11:B11"/>
    <mergeCell ref="C11:K11"/>
    <mergeCell ref="M11:N11"/>
    <mergeCell ref="P11:Q11"/>
    <mergeCell ref="A13:Q13"/>
    <mergeCell ref="A17:Q17"/>
    <mergeCell ref="A24:Q24"/>
    <mergeCell ref="A28:Q28"/>
    <mergeCell ref="A16:B16"/>
    <mergeCell ref="C16:K16"/>
    <mergeCell ref="M16:Q16"/>
    <mergeCell ref="A14:E14"/>
    <mergeCell ref="F14:Q14"/>
    <mergeCell ref="A15:B15"/>
    <mergeCell ref="A38:Q38"/>
    <mergeCell ref="A42:Q42"/>
    <mergeCell ref="A46:Q46"/>
    <mergeCell ref="A50:Q50"/>
    <mergeCell ref="A41:B41"/>
    <mergeCell ref="C41:K41"/>
    <mergeCell ref="M41:Q41"/>
    <mergeCell ref="A39:E39"/>
    <mergeCell ref="F39:Q39"/>
    <mergeCell ref="A40:B4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1"/>
    </row>
    <row r="2" spans="1:17" ht="13.5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3.5" thickBot="1">
      <c r="A3" s="393" t="s">
        <v>162</v>
      </c>
      <c r="B3" s="394"/>
      <c r="C3" s="394"/>
      <c r="D3" s="395"/>
      <c r="E3" s="495"/>
      <c r="F3" s="388"/>
      <c r="G3" s="388"/>
      <c r="H3" s="388"/>
      <c r="I3" s="388"/>
      <c r="J3" s="388"/>
      <c r="K3" s="388"/>
      <c r="L3" s="388"/>
      <c r="M3" s="388"/>
      <c r="N3" s="496"/>
      <c r="O3" s="389" t="s">
        <v>79</v>
      </c>
      <c r="P3" s="390"/>
      <c r="Q3" s="59" t="str">
        <f>'[1]p41'!$H$4</f>
        <v>2008.1</v>
      </c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6" spans="1:19" s="40" customFormat="1" ht="13.5" customHeight="1">
      <c r="A6" s="382" t="str">
        <f>T('[1]p29'!$C$13:$G$13)</f>
        <v>Miriam Costa</v>
      </c>
      <c r="B6" s="381"/>
      <c r="C6" s="381"/>
      <c r="D6" s="381"/>
      <c r="E6" s="381"/>
      <c r="F6" s="381"/>
      <c r="G6" s="384"/>
      <c r="H6" s="502"/>
      <c r="I6" s="503"/>
      <c r="J6" s="503"/>
      <c r="K6" s="503"/>
      <c r="L6" s="503"/>
      <c r="M6" s="503"/>
      <c r="N6" s="503"/>
      <c r="O6" s="503"/>
      <c r="P6" s="503"/>
      <c r="Q6" s="503"/>
      <c r="R6" s="39"/>
      <c r="S6" s="39"/>
    </row>
    <row r="7" spans="1:19" s="40" customFormat="1" ht="13.5" customHeight="1">
      <c r="A7" s="423" t="s">
        <v>16</v>
      </c>
      <c r="B7" s="423"/>
      <c r="C7" s="423"/>
      <c r="D7" s="423"/>
      <c r="E7" s="423"/>
      <c r="F7" s="423"/>
      <c r="G7" s="423"/>
      <c r="H7" s="423"/>
      <c r="I7" s="423"/>
      <c r="J7" s="423"/>
      <c r="K7" s="504" t="s">
        <v>166</v>
      </c>
      <c r="L7" s="504"/>
      <c r="M7" s="505" t="s">
        <v>167</v>
      </c>
      <c r="N7" s="505"/>
      <c r="O7" s="382" t="s">
        <v>17</v>
      </c>
      <c r="P7" s="381"/>
      <c r="Q7" s="384"/>
      <c r="R7" s="39"/>
      <c r="S7" s="39"/>
    </row>
    <row r="8" spans="1:17" s="2" customFormat="1" ht="13.5" customHeight="1">
      <c r="A8" s="497" t="str">
        <f>IF('[1]p29'!$A$26&lt;&gt;0,'[1]p29'!$A$26,"")</f>
        <v>Licença por motivo de doença em pessoa da família</v>
      </c>
      <c r="B8" s="497"/>
      <c r="C8" s="497"/>
      <c r="D8" s="497"/>
      <c r="E8" s="497"/>
      <c r="F8" s="497"/>
      <c r="G8" s="497"/>
      <c r="H8" s="497"/>
      <c r="I8" s="497"/>
      <c r="J8" s="497"/>
      <c r="K8" s="498">
        <f>IF('[1]p29'!$H$26&lt;&gt;0,'[1]p29'!$H$26,"")</f>
        <v>39560</v>
      </c>
      <c r="L8" s="498"/>
      <c r="M8" s="498">
        <f>IF('[1]p29'!$I$26&lt;&gt;0,'[1]p29'!$I$26,"")</f>
        <v>39576</v>
      </c>
      <c r="N8" s="498"/>
      <c r="O8" s="499">
        <f>IF('[1]p29'!$J$26&lt;&gt;0,'[1]p29'!$J$26,"")</f>
      </c>
      <c r="P8" s="500"/>
      <c r="Q8" s="501"/>
    </row>
    <row r="9" spans="1:17" ht="12.75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</row>
    <row r="10" spans="1:19" s="40" customFormat="1" ht="13.5" customHeight="1">
      <c r="A10" s="382" t="str">
        <f>T('[1]p36'!$C$13:$G$13)</f>
        <v>Areli Mesquita da Silva</v>
      </c>
      <c r="B10" s="381"/>
      <c r="C10" s="381"/>
      <c r="D10" s="381"/>
      <c r="E10" s="381"/>
      <c r="F10" s="381"/>
      <c r="G10" s="384"/>
      <c r="H10" s="502"/>
      <c r="I10" s="503"/>
      <c r="J10" s="503"/>
      <c r="K10" s="503"/>
      <c r="L10" s="503"/>
      <c r="M10" s="503"/>
      <c r="N10" s="503"/>
      <c r="O10" s="503"/>
      <c r="P10" s="503"/>
      <c r="Q10" s="503"/>
      <c r="R10" s="39"/>
      <c r="S10" s="39"/>
    </row>
    <row r="11" spans="1:19" s="40" customFormat="1" ht="13.5" customHeight="1">
      <c r="A11" s="423" t="s">
        <v>16</v>
      </c>
      <c r="B11" s="423"/>
      <c r="C11" s="423"/>
      <c r="D11" s="423"/>
      <c r="E11" s="423"/>
      <c r="F11" s="423"/>
      <c r="G11" s="423"/>
      <c r="H11" s="423"/>
      <c r="I11" s="423"/>
      <c r="J11" s="423"/>
      <c r="K11" s="504" t="s">
        <v>166</v>
      </c>
      <c r="L11" s="504"/>
      <c r="M11" s="505" t="s">
        <v>167</v>
      </c>
      <c r="N11" s="505"/>
      <c r="O11" s="382" t="s">
        <v>17</v>
      </c>
      <c r="P11" s="381"/>
      <c r="Q11" s="384"/>
      <c r="R11" s="39"/>
      <c r="S11" s="39"/>
    </row>
    <row r="12" spans="1:17" s="2" customFormat="1" ht="13.5" customHeight="1">
      <c r="A12" s="497" t="str">
        <f>IF('[1]p36'!$A$30&lt;&gt;0,'[1]p36'!$A$30,"")</f>
        <v>Licença por motivo de doença em pessoa da família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8">
        <f>IF('[1]p36'!$H$30&lt;&gt;0,'[1]p36'!$H$30,"")</f>
      </c>
      <c r="L12" s="498"/>
      <c r="M12" s="498">
        <f>IF('[1]p36'!$I$30&lt;&gt;0,'[1]p36'!$I$30,"")</f>
      </c>
      <c r="N12" s="498"/>
      <c r="O12" s="499">
        <f>IF('[1]p36'!$J$30&lt;&gt;0,'[1]p36'!$J$30,"")</f>
      </c>
      <c r="P12" s="500"/>
      <c r="Q12" s="501"/>
    </row>
  </sheetData>
  <sheetProtection password="CEFE" sheet="1" objects="1" scenarios="1"/>
  <mergeCells count="27">
    <mergeCell ref="A12:J12"/>
    <mergeCell ref="K12:L12"/>
    <mergeCell ref="M12:N12"/>
    <mergeCell ref="O12:Q12"/>
    <mergeCell ref="A10:G10"/>
    <mergeCell ref="H10:Q10"/>
    <mergeCell ref="A11:J11"/>
    <mergeCell ref="K11:L11"/>
    <mergeCell ref="M11:N11"/>
    <mergeCell ref="O11:Q11"/>
    <mergeCell ref="A4:Q5"/>
    <mergeCell ref="O3:P3"/>
    <mergeCell ref="A1:Q1"/>
    <mergeCell ref="A2:Q2"/>
    <mergeCell ref="E3:N3"/>
    <mergeCell ref="A3:D3"/>
    <mergeCell ref="A6:G6"/>
    <mergeCell ref="H6:Q6"/>
    <mergeCell ref="A7:J7"/>
    <mergeCell ref="K7:L7"/>
    <mergeCell ref="M7:N7"/>
    <mergeCell ref="O7:Q7"/>
    <mergeCell ref="A9:Q9"/>
    <mergeCell ref="A8:J8"/>
    <mergeCell ref="K8:L8"/>
    <mergeCell ref="M8:N8"/>
    <mergeCell ref="O8:Q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1"/>
    </row>
    <row r="2" spans="1:17" ht="13.5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3.5" thickBot="1">
      <c r="A3" s="393" t="s">
        <v>163</v>
      </c>
      <c r="B3" s="394"/>
      <c r="C3" s="394"/>
      <c r="D3" s="394"/>
      <c r="E3" s="395"/>
      <c r="F3" s="495"/>
      <c r="G3" s="388"/>
      <c r="H3" s="388"/>
      <c r="I3" s="388"/>
      <c r="J3" s="388"/>
      <c r="K3" s="388"/>
      <c r="L3" s="388"/>
      <c r="M3" s="388"/>
      <c r="N3" s="496"/>
      <c r="O3" s="389" t="s">
        <v>79</v>
      </c>
      <c r="P3" s="390"/>
      <c r="Q3" s="59" t="str">
        <f>'[1]p1'!$H$4</f>
        <v>2008.1</v>
      </c>
    </row>
    <row r="4" spans="1:17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6" spans="1:19" s="40" customFormat="1" ht="13.5" customHeight="1">
      <c r="A6" s="382" t="str">
        <f>T('[1]p2'!$C$13:$G$13)</f>
        <v>Alexsandro Bezerra Cavalcanti</v>
      </c>
      <c r="B6" s="381"/>
      <c r="C6" s="381"/>
      <c r="D6" s="381"/>
      <c r="E6" s="381"/>
      <c r="F6" s="381"/>
      <c r="G6" s="384"/>
      <c r="H6" s="60" t="s">
        <v>14</v>
      </c>
      <c r="I6" s="493">
        <f>IF('[1]p2'!$I$19&lt;&gt;0,'[1]p2'!$I$19,"")</f>
        <v>38412</v>
      </c>
      <c r="J6" s="494"/>
      <c r="K6" s="60" t="s">
        <v>159</v>
      </c>
      <c r="L6" s="493">
        <f>IF('[1]p2'!$J$19&lt;&gt;0,'[1]p2'!$J$19,"")</f>
        <v>39871</v>
      </c>
      <c r="M6" s="494"/>
      <c r="N6" s="61" t="s">
        <v>160</v>
      </c>
      <c r="O6" s="386" t="str">
        <f>IF('[1]p2'!$K$19&lt;&gt;0,'[1]p2'!$K$19,"")</f>
        <v>Port.R/SRH/1255/2005</v>
      </c>
      <c r="P6" s="386"/>
      <c r="Q6" s="402"/>
      <c r="R6" s="39"/>
      <c r="S6" s="39"/>
    </row>
    <row r="7" spans="1:17" s="2" customFormat="1" ht="13.5" customHeight="1">
      <c r="A7" s="447" t="s">
        <v>158</v>
      </c>
      <c r="B7" s="448"/>
      <c r="C7" s="437" t="str">
        <f>IF('[1]p2'!$A$19&lt;&gt;0,'[1]p2'!$A$19,"")</f>
        <v>Universidade de São Paulo/USP-SP, (Instituto de Matemática e Estatística - IME)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1:17" s="2" customFormat="1" ht="13.5" customHeight="1">
      <c r="A8" s="447" t="s">
        <v>161</v>
      </c>
      <c r="B8" s="506"/>
      <c r="C8" s="507" t="str">
        <f>IF('[1]p2'!$A$21&lt;&gt;0,'[1]p2'!$A$21,"")</f>
        <v>Doutorado em Estatística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402"/>
    </row>
    <row r="9" spans="1:17" ht="12.75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</row>
    <row r="10" spans="1:19" s="40" customFormat="1" ht="13.5" customHeight="1">
      <c r="A10" s="382" t="str">
        <f>T('[1]p3'!$C$13:$G$13)</f>
        <v>Amanda dos Santos Gomes</v>
      </c>
      <c r="B10" s="381"/>
      <c r="C10" s="381"/>
      <c r="D10" s="381"/>
      <c r="E10" s="381"/>
      <c r="F10" s="381"/>
      <c r="G10" s="384"/>
      <c r="H10" s="60" t="s">
        <v>14</v>
      </c>
      <c r="I10" s="493">
        <f>IF('[1]p3'!$I$19&lt;&gt;0,'[1]p3'!$I$19,"")</f>
        <v>39142</v>
      </c>
      <c r="J10" s="494"/>
      <c r="K10" s="60" t="s">
        <v>159</v>
      </c>
      <c r="L10" s="493">
        <f>IF('[1]p3'!$J$19&lt;&gt;0,'[1]p3'!$J$19,"")</f>
        <v>40237</v>
      </c>
      <c r="M10" s="494"/>
      <c r="N10" s="61" t="s">
        <v>160</v>
      </c>
      <c r="O10" s="386" t="str">
        <f>IF('[1]p3'!$K$19&lt;&gt;0,'[1]p3'!$K$19,"")</f>
        <v>Port./R/SRH/219/2007</v>
      </c>
      <c r="P10" s="386"/>
      <c r="Q10" s="402"/>
      <c r="R10" s="39"/>
      <c r="S10" s="39"/>
    </row>
    <row r="11" spans="1:17" s="2" customFormat="1" ht="13.5" customHeight="1">
      <c r="A11" s="447" t="s">
        <v>158</v>
      </c>
      <c r="B11" s="448"/>
      <c r="C11" s="437" t="str">
        <f>IF('[1]p3'!$A$19&lt;&gt;0,'[1]p3'!$A$19,"")</f>
        <v>Universidade de São Paulo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</row>
    <row r="12" spans="1:17" s="2" customFormat="1" ht="13.5" customHeight="1">
      <c r="A12" s="447" t="s">
        <v>161</v>
      </c>
      <c r="B12" s="506"/>
      <c r="C12" s="507" t="str">
        <f>IF('[1]p3'!$A$21&lt;&gt;0,'[1]p3'!$A$21,"")</f>
        <v>Doutorado em Estatística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402"/>
    </row>
    <row r="13" spans="1:17" ht="12.75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</row>
    <row r="14" spans="1:19" s="40" customFormat="1" ht="13.5" customHeight="1">
      <c r="A14" s="382" t="str">
        <f>T('[1]p11'!$C$13:$G$13)</f>
        <v>Claudianor Oliveira Alves</v>
      </c>
      <c r="B14" s="381"/>
      <c r="C14" s="381"/>
      <c r="D14" s="381"/>
      <c r="E14" s="381"/>
      <c r="F14" s="381"/>
      <c r="G14" s="384"/>
      <c r="H14" s="60" t="s">
        <v>14</v>
      </c>
      <c r="I14" s="493">
        <f>IF('[1]p11'!$I$19&lt;&gt;0,'[1]p11'!$I$19,"")</f>
        <v>39454</v>
      </c>
      <c r="J14" s="494"/>
      <c r="K14" s="60" t="s">
        <v>159</v>
      </c>
      <c r="L14" s="493">
        <f>IF('[1]p11'!$J$19&lt;&gt;0,'[1]p11'!$J$19,"")</f>
        <v>39819</v>
      </c>
      <c r="M14" s="494"/>
      <c r="N14" s="61" t="s">
        <v>160</v>
      </c>
      <c r="O14" s="386" t="str">
        <f>IF('[1]p11'!$K$19&lt;&gt;0,'[1]p11'!$K$19,"")</f>
        <v>Port. SRH/2854/2007</v>
      </c>
      <c r="P14" s="386"/>
      <c r="Q14" s="402"/>
      <c r="R14" s="39"/>
      <c r="S14" s="39"/>
    </row>
    <row r="15" spans="1:17" s="2" customFormat="1" ht="13.5" customHeight="1">
      <c r="A15" s="447" t="s">
        <v>158</v>
      </c>
      <c r="B15" s="448"/>
      <c r="C15" s="437" t="str">
        <f>IF('[1]p11'!$A$19&lt;&gt;0,'[1]p11'!$A$19,"")</f>
        <v>Universidade de São Paulo - USP-São Carlos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</row>
    <row r="16" spans="1:17" s="2" customFormat="1" ht="13.5" customHeight="1">
      <c r="A16" s="447" t="s">
        <v>161</v>
      </c>
      <c r="B16" s="506"/>
      <c r="C16" s="507" t="str">
        <f>IF('[1]p11'!$A$21&lt;&gt;0,'[1]p11'!$A$21,"")</f>
        <v>Pós-Doutorado em Matemática </v>
      </c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402"/>
    </row>
    <row r="17" spans="1:17" ht="12.75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</row>
    <row r="18" spans="1:19" s="40" customFormat="1" ht="13.5" customHeight="1">
      <c r="A18" s="382" t="str">
        <f>T('[1]p21'!$C$13:$G$13)</f>
        <v>Joseilson Raimundo de Lima</v>
      </c>
      <c r="B18" s="381"/>
      <c r="C18" s="381"/>
      <c r="D18" s="381"/>
      <c r="E18" s="381"/>
      <c r="F18" s="381"/>
      <c r="G18" s="384"/>
      <c r="H18" s="60" t="s">
        <v>14</v>
      </c>
      <c r="I18" s="493">
        <f>IF('[1]p21'!$I$19&lt;&gt;0,'[1]p21'!$I$19,"")</f>
        <v>38412</v>
      </c>
      <c r="J18" s="494"/>
      <c r="K18" s="60" t="s">
        <v>159</v>
      </c>
      <c r="L18" s="493">
        <f>IF('[1]p21'!$J$19&lt;&gt;0,'[1]p21'!$J$19,"")</f>
        <v>39639</v>
      </c>
      <c r="M18" s="494"/>
      <c r="N18" s="61" t="s">
        <v>160</v>
      </c>
      <c r="O18" s="386" t="str">
        <f>IF('[1]p21'!$K$19&lt;&gt;0,'[1]p21'!$K$19,"")</f>
        <v>Port.R/SRH/522/2005</v>
      </c>
      <c r="P18" s="386"/>
      <c r="Q18" s="402"/>
      <c r="R18" s="39"/>
      <c r="S18" s="39"/>
    </row>
    <row r="19" spans="1:17" s="2" customFormat="1" ht="13.5" customHeight="1">
      <c r="A19" s="447" t="s">
        <v>158</v>
      </c>
      <c r="B19" s="448"/>
      <c r="C19" s="437" t="str">
        <f>IF('[1]p21'!$A$19&lt;&gt;0,'[1]p21'!$A$19,"")</f>
        <v>Universidade Federal do Ceará - UFC / Fortaleza-CE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</row>
    <row r="20" spans="1:17" s="2" customFormat="1" ht="13.5" customHeight="1">
      <c r="A20" s="447" t="s">
        <v>161</v>
      </c>
      <c r="B20" s="506"/>
      <c r="C20" s="507" t="str">
        <f>IF('[1]p21'!$A$21&lt;&gt;0,'[1]p21'!$A$21,"")</f>
        <v>Doutorado em Matemática</v>
      </c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402"/>
    </row>
    <row r="21" s="62" customFormat="1" ht="12.75"/>
    <row r="22" s="62" customFormat="1" ht="12.75"/>
    <row r="23" s="62" customFormat="1" ht="12.75"/>
    <row r="24" s="62" customFormat="1" ht="12.75"/>
    <row r="25" s="62" customFormat="1" ht="12.75"/>
  </sheetData>
  <sheetProtection password="CEFE" sheet="1" objects="1" scenarios="1"/>
  <mergeCells count="41">
    <mergeCell ref="A19:B19"/>
    <mergeCell ref="C19:Q19"/>
    <mergeCell ref="A20:B20"/>
    <mergeCell ref="C20:Q20"/>
    <mergeCell ref="A17:Q17"/>
    <mergeCell ref="I18:J18"/>
    <mergeCell ref="L18:M18"/>
    <mergeCell ref="O18:Q18"/>
    <mergeCell ref="A18:G18"/>
    <mergeCell ref="A15:B15"/>
    <mergeCell ref="C15:Q15"/>
    <mergeCell ref="A16:B16"/>
    <mergeCell ref="C16:Q16"/>
    <mergeCell ref="A13:Q13"/>
    <mergeCell ref="I14:J14"/>
    <mergeCell ref="L14:M14"/>
    <mergeCell ref="O14:Q14"/>
    <mergeCell ref="A14:G14"/>
    <mergeCell ref="A11:B11"/>
    <mergeCell ref="C11:Q11"/>
    <mergeCell ref="A12:B12"/>
    <mergeCell ref="C12:Q12"/>
    <mergeCell ref="A9:Q9"/>
    <mergeCell ref="I10:J10"/>
    <mergeCell ref="L10:M10"/>
    <mergeCell ref="O10:Q10"/>
    <mergeCell ref="A10:G10"/>
    <mergeCell ref="O6:Q6"/>
    <mergeCell ref="A7:B7"/>
    <mergeCell ref="C7:Q7"/>
    <mergeCell ref="A8:B8"/>
    <mergeCell ref="C8:Q8"/>
    <mergeCell ref="I6:J6"/>
    <mergeCell ref="L6:M6"/>
    <mergeCell ref="A6:G6"/>
    <mergeCell ref="A4:Q5"/>
    <mergeCell ref="F3:N3"/>
    <mergeCell ref="A1:Q1"/>
    <mergeCell ref="O3:P3"/>
    <mergeCell ref="A2:Q2"/>
    <mergeCell ref="A3:E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8"/>
  <sheetViews>
    <sheetView workbookViewId="0" topLeftCell="A1">
      <selection activeCell="Q8" sqref="Q8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89" t="s">
        <v>148</v>
      </c>
      <c r="B3" s="390"/>
      <c r="C3" s="390"/>
      <c r="D3" s="391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36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1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s="8" customFormat="1" ht="13.5" thickBo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</row>
    <row r="7" spans="1:20" s="14" customFormat="1" ht="13.5" thickBot="1">
      <c r="A7" s="28" t="s">
        <v>53</v>
      </c>
      <c r="B7" s="310" t="s">
        <v>84</v>
      </c>
      <c r="C7" s="238"/>
      <c r="D7" s="238"/>
      <c r="E7" s="311"/>
      <c r="F7" s="12" t="s">
        <v>85</v>
      </c>
      <c r="G7" s="12" t="s">
        <v>46</v>
      </c>
      <c r="H7" s="12" t="s">
        <v>47</v>
      </c>
      <c r="I7" s="12" t="s">
        <v>22</v>
      </c>
      <c r="J7" s="519" t="s">
        <v>64</v>
      </c>
      <c r="K7" s="520"/>
      <c r="L7" s="519" t="s">
        <v>48</v>
      </c>
      <c r="M7" s="522"/>
      <c r="N7" s="520"/>
      <c r="O7" s="51" t="s">
        <v>13</v>
      </c>
      <c r="P7" s="57" t="s">
        <v>157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IF('[1]p1'!$C$13&gt;0,1,"")</f>
        <v>1</v>
      </c>
      <c r="B8" s="511" t="str">
        <f>T('[1]p1'!$C$13:$G$13)</f>
        <v>Alciônio Saldanha de Oliveira</v>
      </c>
      <c r="C8" s="511" t="s">
        <v>170</v>
      </c>
      <c r="D8" s="511" t="s">
        <v>170</v>
      </c>
      <c r="E8" s="512" t="s">
        <v>170</v>
      </c>
      <c r="F8" s="15">
        <f>IF('[1]p1'!$J$13&gt;0,'[1]p1'!$J$13,"")</f>
        <v>336892</v>
      </c>
      <c r="G8" s="16" t="str">
        <f>IF('[1]p1'!$A$15&lt;&gt;0,'[1]p1'!$A$15,"")</f>
        <v>Mestre</v>
      </c>
      <c r="H8" s="17" t="str">
        <f>IF('[1]p1'!$B$15&lt;&gt;0,'[1]p1'!$B$15,"")</f>
        <v>Adjunto</v>
      </c>
      <c r="I8" s="18" t="str">
        <f>IF('[1]p1'!$C$15&lt;&gt;0,'[1]p1'!$C$15,"")</f>
        <v>I</v>
      </c>
      <c r="J8" s="52">
        <f>IF('[1]p1'!$F$15&lt;&gt;0,'[1]p1'!$F$15,"")</f>
        <v>40</v>
      </c>
      <c r="K8" s="54" t="str">
        <f>IF('[1]p1'!$G$15&lt;&gt;0,'[1]p1'!$G$15,"")</f>
        <v>DE</v>
      </c>
      <c r="L8" s="508" t="str">
        <f>T('[1]p1'!$H$15:$J$15)</f>
        <v>Docente do Quadro Efetivo</v>
      </c>
      <c r="M8" s="509"/>
      <c r="N8" s="510"/>
      <c r="O8" s="19">
        <f>IF('[1]p1'!$D$15&lt;&gt;0,'[1]p1'!$D$15,"")</f>
        <v>31216</v>
      </c>
      <c r="P8" s="56" t="str">
        <f>IF('[1]p1'!$E$15&lt;&gt;0,'[1]p1'!$E$15,"")</f>
        <v>Concur.</v>
      </c>
      <c r="Q8" s="154">
        <f>IF('[1]p1'!$K$15&lt;&gt;0,'[1]p1'!$K$15,"")</f>
      </c>
      <c r="R8" s="48">
        <f>IF('[1]p1'!$L$15&lt;&gt;0,'[1]p1'!$L$15,"")</f>
      </c>
      <c r="S8" s="15" t="str">
        <f>IF('[1]p1'!$L$13&lt;&gt;0,'[1]p1'!$L$13,"")</f>
        <v>Ativa</v>
      </c>
    </row>
    <row r="9" spans="1:19" s="20" customFormat="1" ht="12.75">
      <c r="A9" s="21">
        <f>IF('[1]p2'!$C$13&gt;0,2,"")</f>
        <v>2</v>
      </c>
      <c r="B9" s="513" t="str">
        <f>T('[1]p2'!$C$13:$G$13)</f>
        <v>Alexsandro Bezerra Cavalcanti</v>
      </c>
      <c r="C9" s="514" t="s">
        <v>176</v>
      </c>
      <c r="D9" s="514" t="s">
        <v>176</v>
      </c>
      <c r="E9" s="515" t="s">
        <v>176</v>
      </c>
      <c r="F9" s="21" t="str">
        <f>IF('[1]p2'!$J$13&gt;0,'[1]p2'!$J$13,"")</f>
        <v>2327828-3</v>
      </c>
      <c r="G9" s="17" t="str">
        <f>IF('[1]p2'!$A$15&lt;&gt;0,'[1]p2'!$A$15,"")</f>
        <v>Mestre</v>
      </c>
      <c r="H9" s="17" t="str">
        <f>IF('[1]p2'!$B$15&lt;&gt;0,'[1]p2'!$B$15,"")</f>
        <v>Assistente</v>
      </c>
      <c r="I9" s="18" t="str">
        <f>IF('[1]p2'!$C$15&lt;&gt;0,'[1]p2'!$C$15,"")</f>
        <v>I</v>
      </c>
      <c r="J9" s="53">
        <f>IF('[1]p2'!$F$15&lt;&gt;0,'[1]p2'!$F$15,"")</f>
        <v>40</v>
      </c>
      <c r="K9" s="50" t="str">
        <f>IF('[1]p2'!$G$15&lt;&gt;0,'[1]p2'!$G$15,"")</f>
        <v>DE</v>
      </c>
      <c r="L9" s="516" t="str">
        <f>T('[1]p2'!$H$15:$J$15)</f>
        <v>Docente em Estágio Probatório</v>
      </c>
      <c r="M9" s="517"/>
      <c r="N9" s="518"/>
      <c r="O9" s="19">
        <f>IF('[1]p2'!$D$15&lt;&gt;0,'[1]p2'!$D$15,"")</f>
        <v>37371</v>
      </c>
      <c r="P9" s="18" t="str">
        <f>IF('[1]p2'!$E$15&lt;&gt;0,'[1]p2'!$E$15,"")</f>
        <v>Concur.</v>
      </c>
      <c r="Q9" s="19">
        <f>IF('[1]p2'!$K$15&lt;&gt;0,'[1]p2'!$K$15,"")</f>
      </c>
      <c r="R9" s="49">
        <f>IF('[1]p2'!$L$15&lt;&gt;0,'[1]p2'!$L$15,"")</f>
      </c>
      <c r="S9" s="21" t="str">
        <f>IF('[1]p2'!$L$13&lt;&gt;0,'[1]p2'!$L$13,"")</f>
        <v>Afastado</v>
      </c>
    </row>
    <row r="10" spans="1:19" s="20" customFormat="1" ht="12.75">
      <c r="A10" s="21">
        <f>IF('[1]p3'!$C$13&gt;0,3,"")</f>
        <v>3</v>
      </c>
      <c r="B10" s="513" t="str">
        <f>T('[1]p3'!$C$13:$G$13)</f>
        <v>Amanda dos Santos Gomes</v>
      </c>
      <c r="C10" s="514" t="s">
        <v>176</v>
      </c>
      <c r="D10" s="514" t="s">
        <v>176</v>
      </c>
      <c r="E10" s="515" t="s">
        <v>176</v>
      </c>
      <c r="F10" s="21" t="str">
        <f>IF('[1]p3'!$J$13&gt;0,'[1]p3'!$J$13,"")</f>
        <v>2414289-0</v>
      </c>
      <c r="G10" s="17" t="str">
        <f>IF('[1]p3'!$A$15&lt;&gt;0,'[1]p3'!$A$15,"")</f>
        <v>Mestre</v>
      </c>
      <c r="H10" s="17" t="str">
        <f>IF('[1]p3'!$B$15&lt;&gt;0,'[1]p3'!$B$15,"")</f>
        <v>Assistente</v>
      </c>
      <c r="I10" s="18" t="str">
        <f>IF('[1]p3'!$C$15&lt;&gt;0,'[1]p3'!$C$15,"")</f>
        <v>I</v>
      </c>
      <c r="J10" s="53">
        <f>IF('[1]p3'!$F$15&lt;&gt;0,'[1]p3'!$F$15,"")</f>
        <v>40</v>
      </c>
      <c r="K10" s="50" t="str">
        <f>IF('[1]p3'!$G$15&lt;&gt;0,'[1]p3'!$G$15,"")</f>
        <v>DE</v>
      </c>
      <c r="L10" s="516" t="str">
        <f>T('[1]p3'!$H$15:$J$15)</f>
        <v>Docente em Estágio Probatório</v>
      </c>
      <c r="M10" s="517"/>
      <c r="N10" s="518"/>
      <c r="O10" s="19">
        <f>IF('[1]p3'!$D$15&lt;&gt;0,'[1]p3'!$D$15,"")</f>
        <v>38209</v>
      </c>
      <c r="P10" s="18" t="str">
        <f>IF('[1]p3'!$E$15&lt;&gt;0,'[1]p3'!$E$15,"")</f>
        <v>Concur.</v>
      </c>
      <c r="Q10" s="19">
        <f>IF('[1]p3'!$K$15&lt;&gt;0,'[1]p3'!$K$15,"")</f>
      </c>
      <c r="R10" s="49">
        <f>IF('[1]p3'!$L$15&lt;&gt;0,'[1]p3'!$L$15,"")</f>
      </c>
      <c r="S10" s="21" t="str">
        <f>IF('[1]p3'!$L$13&lt;&gt;0,'[1]p3'!$L$13,"")</f>
        <v>Afastado</v>
      </c>
    </row>
    <row r="11" spans="1:19" s="20" customFormat="1" ht="12.75">
      <c r="A11" s="21">
        <f>IF('[1]p4'!$C$13&gt;0,4,"")</f>
        <v>4</v>
      </c>
      <c r="B11" s="513" t="str">
        <f>T('[1]p4'!$C$13:$G$13)</f>
        <v>Amauri Araújo Cruz</v>
      </c>
      <c r="C11" s="514" t="s">
        <v>179</v>
      </c>
      <c r="D11" s="514" t="s">
        <v>179</v>
      </c>
      <c r="E11" s="515" t="s">
        <v>179</v>
      </c>
      <c r="F11" s="21" t="str">
        <f>IF('[1]p4'!$J$13&gt;0,'[1]p4'!$J$13,"")</f>
        <v>0333086</v>
      </c>
      <c r="G11" s="17" t="str">
        <f>IF('[1]p4'!$A$15&lt;&gt;0,'[1]p4'!$A$15,"")</f>
        <v>Especialista</v>
      </c>
      <c r="H11" s="17" t="str">
        <f>IF('[1]p4'!$B$15&lt;&gt;0,'[1]p4'!$B$15,"")</f>
        <v>Adjunto</v>
      </c>
      <c r="I11" s="18" t="str">
        <f>IF('[1]p4'!$C$15&lt;&gt;0,'[1]p4'!$C$15,"")</f>
        <v>IV</v>
      </c>
      <c r="J11" s="53">
        <f>IF('[1]p4'!$F$15&lt;&gt;0,'[1]p4'!$F$15,"")</f>
        <v>40</v>
      </c>
      <c r="K11" s="50" t="str">
        <f>IF('[1]p4'!$G$15&lt;&gt;0,'[1]p4'!$G$15,"")</f>
        <v>DE</v>
      </c>
      <c r="L11" s="516" t="str">
        <f>T('[1]p4'!$H$15:$J$15)</f>
        <v>Docente do Quadro Efetivo</v>
      </c>
      <c r="M11" s="517"/>
      <c r="N11" s="518"/>
      <c r="O11" s="19">
        <f>IF('[1]p4'!$D$15&lt;&gt;0,'[1]p4'!$D$15,"")</f>
        <v>29082</v>
      </c>
      <c r="P11" s="18" t="str">
        <f>IF('[1]p4'!$E$15&lt;&gt;0,'[1]p4'!$E$15,"")</f>
        <v>Concur.</v>
      </c>
      <c r="Q11" s="19">
        <f>IF('[1]p4'!$K$15&lt;&gt;0,'[1]p4'!$K$15,"")</f>
      </c>
      <c r="R11" s="49">
        <f>IF('[1]p4'!$L$15&lt;&gt;0,'[1]p4'!$L$15,"")</f>
      </c>
      <c r="S11" s="21" t="str">
        <f>IF('[1]p4'!$L$13&lt;&gt;0,'[1]p4'!$L$13,"")</f>
        <v>Ativa</v>
      </c>
    </row>
    <row r="12" spans="1:19" s="20" customFormat="1" ht="12.75">
      <c r="A12" s="21">
        <f>IF('[1]p5'!$C$13&gt;0,5,"")</f>
        <v>5</v>
      </c>
      <c r="B12" s="513" t="str">
        <f>T('[1]p5'!$C$13:$G$13)</f>
        <v>Ângelo Roncalli  Furtado de Holanda</v>
      </c>
      <c r="C12" s="514" t="s">
        <v>171</v>
      </c>
      <c r="D12" s="514" t="s">
        <v>171</v>
      </c>
      <c r="E12" s="515" t="s">
        <v>171</v>
      </c>
      <c r="F12" s="21" t="str">
        <f>IF('[1]p5'!$J$13&gt;0,'[1]p5'!$J$13,"")</f>
        <v>2318390-8</v>
      </c>
      <c r="G12" s="17" t="str">
        <f>IF('[1]p5'!$A$15&lt;&gt;0,'[1]p5'!$A$15,"")</f>
        <v>Doutor</v>
      </c>
      <c r="H12" s="17" t="str">
        <f>IF('[1]p5'!$B$15&lt;&gt;0,'[1]p5'!$B$15,"")</f>
        <v>Adjunto</v>
      </c>
      <c r="I12" s="18" t="str">
        <f>IF('[1]p5'!$C$15&lt;&gt;0,'[1]p5'!$C$15,"")</f>
        <v>I</v>
      </c>
      <c r="J12" s="53">
        <f>IF('[1]p5'!$F$15&lt;&gt;0,'[1]p5'!$F$15,"")</f>
        <v>40</v>
      </c>
      <c r="K12" s="50" t="str">
        <f>IF('[1]p5'!$G$15&lt;&gt;0,'[1]p5'!$G$15,"")</f>
        <v>DE</v>
      </c>
      <c r="L12" s="516" t="str">
        <f>T('[1]p5'!$H$15:$J$15)</f>
        <v>Docente do Quadro Efetivo</v>
      </c>
      <c r="M12" s="517"/>
      <c r="N12" s="518"/>
      <c r="O12" s="19">
        <f>IF('[1]p5'!$D$15&lt;&gt;0,'[1]p5'!$D$15,"")</f>
        <v>39678</v>
      </c>
      <c r="P12" s="18" t="str">
        <f>IF('[1]p5'!$E$15&lt;&gt;0,'[1]p5'!$E$15,"")</f>
        <v>Redistr.</v>
      </c>
      <c r="Q12" s="19">
        <f>IF('[1]p5'!$K$15&lt;&gt;0,'[1]p5'!$K$15,"")</f>
      </c>
      <c r="R12" s="49">
        <f>IF('[1]p5'!$L$15&lt;&gt;0,'[1]p5'!$L$15,"")</f>
      </c>
      <c r="S12" s="21" t="str">
        <f>IF('[1]p5'!$L$13&lt;&gt;0,'[1]p5'!$L$13,"")</f>
        <v>Ativa</v>
      </c>
    </row>
    <row r="13" spans="1:19" s="20" customFormat="1" ht="12.75">
      <c r="A13" s="21">
        <f>IF('[1]p6'!$C$13&gt;0,6,"")</f>
        <v>6</v>
      </c>
      <c r="B13" s="513" t="str">
        <f>T('[1]p6'!$C$13:$G$13)</f>
        <v>Antônio José da Silva</v>
      </c>
      <c r="C13" s="514" t="s">
        <v>172</v>
      </c>
      <c r="D13" s="514" t="s">
        <v>172</v>
      </c>
      <c r="E13" s="515" t="s">
        <v>172</v>
      </c>
      <c r="F13" s="21" t="str">
        <f>IF('[1]p6'!$J$13&gt;0,'[1]p6'!$J$13,"")</f>
        <v>0336520-2</v>
      </c>
      <c r="G13" s="17" t="str">
        <f>IF('[1]p6'!$A$15&lt;&gt;0,'[1]p6'!$A$15,"")</f>
        <v>Doutor</v>
      </c>
      <c r="H13" s="17" t="str">
        <f>IF('[1]p6'!$B$15&lt;&gt;0,'[1]p6'!$B$15,"")</f>
        <v>Associado</v>
      </c>
      <c r="I13" s="18" t="str">
        <f>IF('[1]p6'!$C$15&lt;&gt;0,'[1]p6'!$C$15,"")</f>
        <v>I</v>
      </c>
      <c r="J13" s="53">
        <f>IF('[1]p6'!$F$15&lt;&gt;0,'[1]p6'!$F$15,"")</f>
        <v>40</v>
      </c>
      <c r="K13" s="50" t="str">
        <f>IF('[1]p6'!$G$15&lt;&gt;0,'[1]p6'!$G$15,"")</f>
        <v>DE</v>
      </c>
      <c r="L13" s="516" t="str">
        <f>T('[1]p6'!$H$15:$J$15)</f>
        <v>Docente do Quadro Efetivo</v>
      </c>
      <c r="M13" s="517"/>
      <c r="N13" s="518"/>
      <c r="O13" s="19">
        <f>IF('[1]p6'!$D$15&lt;&gt;0,'[1]p6'!$D$15,"")</f>
        <v>31168</v>
      </c>
      <c r="P13" s="18" t="str">
        <f>IF('[1]p6'!$E$15&lt;&gt;0,'[1]p6'!$E$15,"")</f>
        <v>Concur.</v>
      </c>
      <c r="Q13" s="19">
        <f>IF('[1]p6'!$K$15&lt;&gt;0,'[1]p6'!$K$15,"")</f>
      </c>
      <c r="R13" s="49">
        <f>IF('[1]p6'!$L$15&lt;&gt;0,'[1]p6'!$L$15,"")</f>
      </c>
      <c r="S13" s="21" t="str">
        <f>IF('[1]p6'!$L$13&lt;&gt;0,'[1]p6'!$L$13,"")</f>
        <v>Ativa</v>
      </c>
    </row>
    <row r="14" spans="1:19" s="20" customFormat="1" ht="12.75">
      <c r="A14" s="21">
        <f>IF('[1]p7'!$C$13&gt;0,7,"")</f>
        <v>7</v>
      </c>
      <c r="B14" s="513" t="str">
        <f>T('[1]p7'!$C$13:$G$13)</f>
        <v>Antônio Pereira Brandão Júnior</v>
      </c>
      <c r="C14" s="514" t="s">
        <v>180</v>
      </c>
      <c r="D14" s="514" t="s">
        <v>180</v>
      </c>
      <c r="E14" s="515" t="s">
        <v>180</v>
      </c>
      <c r="F14" s="21" t="str">
        <f>IF('[1]p7'!$J$13&gt;0,'[1]p7'!$J$13,"")</f>
        <v>2224264-1</v>
      </c>
      <c r="G14" s="17" t="str">
        <f>IF('[1]p7'!$A$15&lt;&gt;0,'[1]p7'!$A$15,"")</f>
        <v>Doutor</v>
      </c>
      <c r="H14" s="17" t="str">
        <f>IF('[1]p7'!$B$15&lt;&gt;0,'[1]p7'!$B$15,"")</f>
        <v>Adjunto</v>
      </c>
      <c r="I14" s="18" t="str">
        <f>IF('[1]p7'!$C$15&lt;&gt;0,'[1]p7'!$C$15,"")</f>
        <v>I</v>
      </c>
      <c r="J14" s="53">
        <f>IF('[1]p7'!$F$15&lt;&gt;0,'[1]p7'!$F$15,"")</f>
        <v>40</v>
      </c>
      <c r="K14" s="50" t="str">
        <f>IF('[1]p7'!$G$15&lt;&gt;0,'[1]p7'!$G$15,"")</f>
        <v>DE</v>
      </c>
      <c r="L14" s="516" t="str">
        <f>T('[1]p7'!$H$15:$J$15)</f>
        <v>Docente do Quadro Efetivo</v>
      </c>
      <c r="M14" s="517"/>
      <c r="N14" s="518"/>
      <c r="O14" s="19">
        <f>IF('[1]p7'!$D$15&lt;&gt;0,'[1]p7'!$D$15,"")</f>
        <v>36004</v>
      </c>
      <c r="P14" s="18" t="str">
        <f>IF('[1]p7'!$E$15&lt;&gt;0,'[1]p7'!$E$15,"")</f>
        <v>Concur.</v>
      </c>
      <c r="Q14" s="19">
        <f>IF('[1]p7'!$K$15&lt;&gt;0,'[1]p7'!$K$15,"")</f>
      </c>
      <c r="R14" s="49">
        <f>IF('[1]p7'!$L$15&lt;&gt;0,'[1]p7'!$L$15,"")</f>
      </c>
      <c r="S14" s="21" t="str">
        <f>IF('[1]p7'!$L$13&lt;&gt;0,'[1]p7'!$L$13,"")</f>
        <v>Ativa</v>
      </c>
    </row>
    <row r="15" spans="1:19" s="20" customFormat="1" ht="12.75">
      <c r="A15" s="21">
        <f>IF('[1]p8'!$C$13&gt;0,8,"")</f>
        <v>8</v>
      </c>
      <c r="B15" s="513" t="str">
        <f>T('[1]p8'!$C$13:$G$13)</f>
        <v>Aparecido Jesuino de Souza</v>
      </c>
      <c r="C15" s="514" t="s">
        <v>181</v>
      </c>
      <c r="D15" s="514" t="s">
        <v>181</v>
      </c>
      <c r="E15" s="515" t="s">
        <v>181</v>
      </c>
      <c r="F15" s="21" t="str">
        <f>IF('[1]p8'!$J$13&gt;0,'[1]p8'!$J$13,"")</f>
        <v>03350451</v>
      </c>
      <c r="G15" s="17" t="str">
        <f>IF('[1]p8'!$A$15&lt;&gt;0,'[1]p8'!$A$15,"")</f>
        <v>Doutor</v>
      </c>
      <c r="H15" s="17" t="str">
        <f>IF('[1]p8'!$B$15&lt;&gt;0,'[1]p8'!$B$15,"")</f>
        <v>Titular</v>
      </c>
      <c r="I15" s="18" t="str">
        <f>IF('[1]p8'!$C$15&lt;&gt;0,'[1]p8'!$C$15,"")</f>
        <v>Único</v>
      </c>
      <c r="J15" s="53">
        <f>IF('[1]p8'!$F$15&lt;&gt;0,'[1]p8'!$F$15,"")</f>
        <v>40</v>
      </c>
      <c r="K15" s="50" t="str">
        <f>IF('[1]p8'!$G$15&lt;&gt;0,'[1]p8'!$G$15,"")</f>
        <v>DE</v>
      </c>
      <c r="L15" s="516" t="str">
        <f>T('[1]p8'!$H$15:$J$15)</f>
        <v>Docente do Quadro Efetivo</v>
      </c>
      <c r="M15" s="517"/>
      <c r="N15" s="518"/>
      <c r="O15" s="19">
        <f>IF('[1]p8'!$D$15&lt;&gt;0,'[1]p8'!$D$15,"")</f>
        <v>30011</v>
      </c>
      <c r="P15" s="18" t="str">
        <f>IF('[1]p8'!$E$15&lt;&gt;0,'[1]p8'!$E$15,"")</f>
        <v>Concur.</v>
      </c>
      <c r="Q15" s="19">
        <f>IF('[1]p8'!$K$15&lt;&gt;0,'[1]p8'!$K$15,"")</f>
      </c>
      <c r="R15" s="49">
        <f>IF('[1]p8'!$L$15&lt;&gt;0,'[1]p8'!$L$15,"")</f>
      </c>
      <c r="S15" s="21" t="str">
        <f>IF('[1]p8'!$L$13&lt;&gt;0,'[1]p8'!$L$13,"")</f>
        <v>Ativa</v>
      </c>
    </row>
    <row r="16" spans="1:19" s="20" customFormat="1" ht="12.75">
      <c r="A16" s="21">
        <f>IF('[1]p9'!$C$13&gt;0,9,"")</f>
        <v>9</v>
      </c>
      <c r="B16" s="513" t="str">
        <f>T('[1]p9'!$C$13:$G$13)</f>
        <v>Bianca Morelli Casalvara Caretta</v>
      </c>
      <c r="C16" s="514" t="s">
        <v>182</v>
      </c>
      <c r="D16" s="514" t="s">
        <v>182</v>
      </c>
      <c r="E16" s="515" t="s">
        <v>182</v>
      </c>
      <c r="F16" s="21" t="str">
        <f>IF('[1]p9'!$J$13&gt;0,'[1]p9'!$J$13,"")</f>
        <v>1527755-9</v>
      </c>
      <c r="G16" s="17" t="str">
        <f>IF('[1]p9'!$A$15&lt;&gt;0,'[1]p9'!$A$15,"")</f>
        <v>Doutor</v>
      </c>
      <c r="H16" s="17" t="str">
        <f>IF('[1]p9'!$B$15&lt;&gt;0,'[1]p9'!$B$15,"")</f>
        <v>Adjunto</v>
      </c>
      <c r="I16" s="18" t="str">
        <f>IF('[1]p9'!$C$15&lt;&gt;0,'[1]p9'!$C$15,"")</f>
        <v>I</v>
      </c>
      <c r="J16" s="53">
        <f>IF('[1]p9'!$F$15&lt;&gt;0,'[1]p9'!$F$15,"")</f>
        <v>40</v>
      </c>
      <c r="K16" s="50" t="str">
        <f>IF('[1]p9'!$G$15&lt;&gt;0,'[1]p9'!$G$15,"")</f>
        <v>DE</v>
      </c>
      <c r="L16" s="516" t="str">
        <f>T('[1]p9'!$H$15:$J$15)</f>
        <v>Docente em Estágio Probatório</v>
      </c>
      <c r="M16" s="517"/>
      <c r="N16" s="518"/>
      <c r="O16" s="19">
        <f>IF('[1]p9'!$D$15&lt;&gt;0,'[1]p9'!$D$15,"")</f>
        <v>38813</v>
      </c>
      <c r="P16" s="18" t="str">
        <f>IF('[1]p9'!$E$15&lt;&gt;0,'[1]p9'!$E$15,"")</f>
        <v>Concur.</v>
      </c>
      <c r="Q16" s="19">
        <f>IF('[1]p9'!$K$15&lt;&gt;0,'[1]p9'!$K$15,"")</f>
        <v>39661</v>
      </c>
      <c r="R16" s="49" t="str">
        <f>IF('[1]p9'!$L$15&lt;&gt;0,'[1]p9'!$L$15,"")</f>
        <v>Demissão</v>
      </c>
      <c r="S16" s="21" t="str">
        <f>IF('[1]p9'!$L$13&lt;&gt;0,'[1]p9'!$L$13,"")</f>
        <v>Ativa</v>
      </c>
    </row>
    <row r="17" spans="1:19" s="20" customFormat="1" ht="12.75">
      <c r="A17" s="21">
        <f>IF('[1]p10'!$C$13&gt;0,10,"")</f>
        <v>10</v>
      </c>
      <c r="B17" s="513" t="str">
        <f>T('[1]p10'!$C$13:$G$13)</f>
        <v>Bráulio Maia Junior</v>
      </c>
      <c r="C17" s="514" t="s">
        <v>183</v>
      </c>
      <c r="D17" s="514" t="s">
        <v>183</v>
      </c>
      <c r="E17" s="515" t="s">
        <v>183</v>
      </c>
      <c r="F17" s="21" t="str">
        <f>IF('[1]p10'!$J$13&gt;0,'[1]p10'!$J$13,"")</f>
        <v>0333027-1</v>
      </c>
      <c r="G17" s="17" t="str">
        <f>IF('[1]p10'!$A$15&lt;&gt;0,'[1]p10'!$A$15,"")</f>
        <v>Doutor</v>
      </c>
      <c r="H17" s="17" t="str">
        <f>IF('[1]p10'!$B$15&lt;&gt;0,'[1]p10'!$B$15,"")</f>
        <v>Associado</v>
      </c>
      <c r="I17" s="18" t="str">
        <f>IF('[1]p10'!$C$15&lt;&gt;0,'[1]p10'!$C$15,"")</f>
        <v>II</v>
      </c>
      <c r="J17" s="53">
        <f>IF('[1]p10'!$F$15&lt;&gt;0,'[1]p10'!$F$15,"")</f>
        <v>40</v>
      </c>
      <c r="K17" s="50" t="str">
        <f>IF('[1]p10'!$G$15&lt;&gt;0,'[1]p10'!$G$15,"")</f>
        <v>DE</v>
      </c>
      <c r="L17" s="516" t="str">
        <f>T('[1]p10'!$H$15:$J$15)</f>
        <v>Docente do Quadro Efetivo</v>
      </c>
      <c r="M17" s="517"/>
      <c r="N17" s="518"/>
      <c r="O17" s="19">
        <f>IF('[1]p10'!$D$15&lt;&gt;0,'[1]p10'!$D$15,"")</f>
        <v>29082</v>
      </c>
      <c r="P17" s="18" t="str">
        <f>IF('[1]p10'!$E$15&lt;&gt;0,'[1]p10'!$E$15,"")</f>
        <v>Concur.</v>
      </c>
      <c r="Q17" s="19">
        <f>IF('[1]p10'!$K$15&lt;&gt;0,'[1]p10'!$K$15,"")</f>
      </c>
      <c r="R17" s="49">
        <f>IF('[1]p10'!$L$15&lt;&gt;0,'[1]p10'!$L$15,"")</f>
      </c>
      <c r="S17" s="21" t="str">
        <f>IF('[1]p10'!$L$13&lt;&gt;0,'[1]p10'!$L$13,"")</f>
        <v>Ativa</v>
      </c>
    </row>
    <row r="18" spans="1:19" s="20" customFormat="1" ht="12.75">
      <c r="A18" s="21">
        <f>IF('[1]p11'!$C$13&gt;0,11,"")</f>
        <v>11</v>
      </c>
      <c r="B18" s="513" t="str">
        <f>T('[1]p11'!$C$13:$G$13)</f>
        <v>Claudianor Oliveira Alves</v>
      </c>
      <c r="C18" s="514" t="s">
        <v>184</v>
      </c>
      <c r="D18" s="514" t="s">
        <v>184</v>
      </c>
      <c r="E18" s="515" t="s">
        <v>184</v>
      </c>
      <c r="F18" s="21" t="str">
        <f>IF('[1]p11'!$J$13&gt;0,'[1]p11'!$J$13,"")</f>
        <v>6338063</v>
      </c>
      <c r="G18" s="17" t="str">
        <f>IF('[1]p11'!$A$15&lt;&gt;0,'[1]p11'!$A$15,"")</f>
        <v>Doutor</v>
      </c>
      <c r="H18" s="17" t="str">
        <f>IF('[1]p11'!$B$15&lt;&gt;0,'[1]p11'!$B$15,"")</f>
        <v>Titular</v>
      </c>
      <c r="I18" s="18" t="str">
        <f>IF('[1]p11'!$C$15&lt;&gt;0,'[1]p11'!$C$15,"")</f>
        <v>Único</v>
      </c>
      <c r="J18" s="53">
        <f>IF('[1]p11'!$F$15&lt;&gt;0,'[1]p11'!$F$15,"")</f>
        <v>40</v>
      </c>
      <c r="K18" s="50" t="str">
        <f>IF('[1]p11'!$G$15&lt;&gt;0,'[1]p11'!$G$15,"")</f>
        <v>DE</v>
      </c>
      <c r="L18" s="516" t="str">
        <f>T('[1]p11'!$H$15:$J$15)</f>
        <v>Docente do Quadro Efetivo</v>
      </c>
      <c r="M18" s="517"/>
      <c r="N18" s="518"/>
      <c r="O18" s="19">
        <f>IF('[1]p11'!$D$15&lt;&gt;0,'[1]p11'!$D$15,"")</f>
        <v>33482</v>
      </c>
      <c r="P18" s="18" t="str">
        <f>IF('[1]p11'!$E$15&lt;&gt;0,'[1]p11'!$E$15,"")</f>
        <v>Concur.</v>
      </c>
      <c r="Q18" s="19">
        <f>IF('[1]p11'!$K$15&lt;&gt;0,'[1]p11'!$K$15,"")</f>
      </c>
      <c r="R18" s="49">
        <f>IF('[1]p11'!$L$15&lt;&gt;0,'[1]p11'!$L$15,"")</f>
      </c>
      <c r="S18" s="21" t="str">
        <f>IF('[1]p11'!$L$13&lt;&gt;0,'[1]p11'!$L$13,"")</f>
        <v>Ativa</v>
      </c>
    </row>
    <row r="19" spans="1:19" s="20" customFormat="1" ht="12.75">
      <c r="A19" s="21">
        <f>IF('[1]p12'!$C$13&gt;0,12,"")</f>
        <v>12</v>
      </c>
      <c r="B19" s="513" t="str">
        <f>T('[1]p12'!$C$13:$G$13)</f>
        <v>Daniel Cordeiro de Morais Filho</v>
      </c>
      <c r="C19" s="514" t="s">
        <v>186</v>
      </c>
      <c r="D19" s="514" t="s">
        <v>186</v>
      </c>
      <c r="E19" s="515" t="s">
        <v>186</v>
      </c>
      <c r="F19" s="21" t="str">
        <f>IF('[1]p12'!$J$13&gt;0,'[1]p12'!$J$13,"")</f>
        <v>0336979-1</v>
      </c>
      <c r="G19" s="17" t="str">
        <f>IF('[1]p12'!$A$15&lt;&gt;0,'[1]p12'!$A$15,"")</f>
        <v>Doutor</v>
      </c>
      <c r="H19" s="17" t="str">
        <f>IF('[1]p12'!$B$15&lt;&gt;0,'[1]p12'!$B$15,"")</f>
        <v>Titular</v>
      </c>
      <c r="I19" s="18" t="str">
        <f>IF('[1]p12'!$C$15&lt;&gt;0,'[1]p12'!$C$15,"")</f>
        <v>Único</v>
      </c>
      <c r="J19" s="53">
        <f>IF('[1]p12'!$F$15&lt;&gt;0,'[1]p12'!$F$15,"")</f>
        <v>40</v>
      </c>
      <c r="K19" s="50" t="str">
        <f>IF('[1]p12'!$G$15&lt;&gt;0,'[1]p12'!$G$15,"")</f>
        <v>DE</v>
      </c>
      <c r="L19" s="516" t="str">
        <f>T('[1]p12'!$H$15:$J$15)</f>
        <v>Docente do Quadro Efetivo</v>
      </c>
      <c r="M19" s="517"/>
      <c r="N19" s="518"/>
      <c r="O19" s="19">
        <f>IF('[1]p12'!$D$15&lt;&gt;0,'[1]p12'!$D$15,"")</f>
        <v>31625</v>
      </c>
      <c r="P19" s="18" t="str">
        <f>IF('[1]p12'!$E$15&lt;&gt;0,'[1]p12'!$E$15,"")</f>
        <v>Concur.</v>
      </c>
      <c r="Q19" s="19">
        <f>IF('[1]p12'!$K$15&lt;&gt;0,'[1]p12'!$K$15,"")</f>
      </c>
      <c r="R19" s="49">
        <f>IF('[1]p12'!$L$15&lt;&gt;0,'[1]p12'!$L$15,"")</f>
      </c>
      <c r="S19" s="21" t="str">
        <f>IF('[1]p12'!$L$13&lt;&gt;0,'[1]p12'!$L$13,"")</f>
        <v>Ativa</v>
      </c>
    </row>
    <row r="20" spans="1:19" s="20" customFormat="1" ht="12.75">
      <c r="A20" s="21">
        <f>IF('[1]p13'!$C$13&gt;0,13,"")</f>
        <v>13</v>
      </c>
      <c r="B20" s="513" t="str">
        <f>T('[1]p13'!$C$13:$G$13)</f>
        <v>Florence Ayres Campello de Oliveira</v>
      </c>
      <c r="C20" s="514" t="s">
        <v>187</v>
      </c>
      <c r="D20" s="514" t="s">
        <v>187</v>
      </c>
      <c r="E20" s="515" t="s">
        <v>187</v>
      </c>
      <c r="F20" s="21" t="str">
        <f>IF('[1]p13'!$J$13&gt;0,'[1]p13'!$J$13,"")</f>
        <v>0332624-0</v>
      </c>
      <c r="G20" s="17" t="str">
        <f>IF('[1]p13'!$A$15&lt;&gt;0,'[1]p13'!$A$15,"")</f>
        <v>Mestre</v>
      </c>
      <c r="H20" s="17" t="str">
        <f>IF('[1]p13'!$B$15&lt;&gt;0,'[1]p13'!$B$15,"")</f>
        <v>Adjunto</v>
      </c>
      <c r="I20" s="18" t="str">
        <f>IF('[1]p13'!$C$15&lt;&gt;0,'[1]p13'!$C$15,"")</f>
        <v>IV</v>
      </c>
      <c r="J20" s="53">
        <f>IF('[1]p13'!$F$15&lt;&gt;0,'[1]p13'!$F$15,"")</f>
        <v>40</v>
      </c>
      <c r="K20" s="50" t="str">
        <f>IF('[1]p13'!$G$15&lt;&gt;0,'[1]p13'!$G$15,"")</f>
        <v>DE</v>
      </c>
      <c r="L20" s="516" t="str">
        <f>T('[1]p13'!$H$15:$J$15)</f>
        <v>Docente do Quadro Efetivo</v>
      </c>
      <c r="M20" s="517"/>
      <c r="N20" s="518"/>
      <c r="O20" s="19">
        <f>IF('[1]p13'!$D$15&lt;&gt;0,'[1]p13'!$D$15,"")</f>
        <v>28929</v>
      </c>
      <c r="P20" s="18" t="str">
        <f>IF('[1]p13'!$E$15&lt;&gt;0,'[1]p13'!$E$15,"")</f>
        <v>Concur.</v>
      </c>
      <c r="Q20" s="19">
        <f>IF('[1]p13'!$K$15&lt;&gt;0,'[1]p13'!$K$15,"")</f>
      </c>
      <c r="R20" s="49">
        <f>IF('[1]p13'!$L$15&lt;&gt;0,'[1]p13'!$L$15,"")</f>
      </c>
      <c r="S20" s="21" t="str">
        <f>IF('[1]p13'!$L$13&lt;&gt;0,'[1]p13'!$L$13,"")</f>
        <v>Ativa</v>
      </c>
    </row>
    <row r="21" spans="1:19" s="20" customFormat="1" ht="12.75">
      <c r="A21" s="21">
        <f>IF('[1]p14'!$C$13&gt;0,14,"")</f>
        <v>14</v>
      </c>
      <c r="B21" s="513" t="str">
        <f>T('[1]p14'!$C$13:$G$13)</f>
        <v>Francisco Antônio Morais de Souza</v>
      </c>
      <c r="C21" s="514" t="s">
        <v>188</v>
      </c>
      <c r="D21" s="514" t="s">
        <v>188</v>
      </c>
      <c r="E21" s="515" t="s">
        <v>188</v>
      </c>
      <c r="F21" s="21" t="str">
        <f>IF('[1]p14'!$J$13&gt;0,'[1]p14'!$J$13,"")</f>
        <v>0335559-4</v>
      </c>
      <c r="G21" s="17" t="str">
        <f>IF('[1]p14'!$A$15&lt;&gt;0,'[1]p14'!$A$15,"")</f>
        <v>Doutor</v>
      </c>
      <c r="H21" s="17" t="str">
        <f>IF('[1]p14'!$B$15&lt;&gt;0,'[1]p14'!$B$15,"")</f>
        <v>Associado</v>
      </c>
      <c r="I21" s="18" t="str">
        <f>IF('[1]p14'!$C$15&lt;&gt;0,'[1]p14'!$C$15,"")</f>
        <v>I</v>
      </c>
      <c r="J21" s="53">
        <f>IF('[1]p14'!$F$15&lt;&gt;0,'[1]p14'!$F$15,"")</f>
        <v>40</v>
      </c>
      <c r="K21" s="50" t="str">
        <f>IF('[1]p14'!$G$15&lt;&gt;0,'[1]p14'!$G$15,"")</f>
        <v>DE</v>
      </c>
      <c r="L21" s="516" t="str">
        <f>T('[1]p14'!$H$15:$J$15)</f>
        <v>Docente do Quadro Efetivo</v>
      </c>
      <c r="M21" s="517"/>
      <c r="N21" s="518"/>
      <c r="O21" s="19">
        <f>IF('[1]p14'!$D$15&lt;&gt;0,'[1]p14'!$D$15,"")</f>
        <v>30372</v>
      </c>
      <c r="P21" s="18" t="str">
        <f>IF('[1]p14'!$E$15&lt;&gt;0,'[1]p14'!$E$15,"")</f>
        <v>Concur.</v>
      </c>
      <c r="Q21" s="19">
        <f>IF('[1]p14'!$K$15&lt;&gt;0,'[1]p14'!$K$15,"")</f>
      </c>
      <c r="R21" s="49">
        <f>IF('[1]p14'!$L$15&lt;&gt;0,'[1]p14'!$L$15,"")</f>
      </c>
      <c r="S21" s="21" t="str">
        <f>IF('[1]p14'!$L$13&lt;&gt;0,'[1]p14'!$L$13,"")</f>
        <v>Ativa</v>
      </c>
    </row>
    <row r="22" spans="1:19" s="20" customFormat="1" ht="12.75">
      <c r="A22" s="21">
        <f>IF('[1]p15'!$C$13&gt;0,15,"")</f>
        <v>15</v>
      </c>
      <c r="B22" s="513" t="str">
        <f>T('[1]p15'!$C$13:$G$13)</f>
        <v>Francisco Júlio Sobreira de A. Corrêa</v>
      </c>
      <c r="C22" s="514" t="s">
        <v>173</v>
      </c>
      <c r="D22" s="514" t="s">
        <v>173</v>
      </c>
      <c r="E22" s="515" t="s">
        <v>173</v>
      </c>
      <c r="F22" s="21" t="str">
        <f>IF('[1]p15'!$J$13&gt;0,'[1]p15'!$J$13,"")</f>
        <v>6330863</v>
      </c>
      <c r="G22" s="17" t="str">
        <f>IF('[1]p15'!$A$15&lt;&gt;0,'[1]p15'!$A$15,"")</f>
        <v>Doutor</v>
      </c>
      <c r="H22" s="17" t="str">
        <f>IF('[1]p15'!$B$15&lt;&gt;0,'[1]p15'!$B$15,"")</f>
        <v>Associado</v>
      </c>
      <c r="I22" s="18" t="str">
        <f>IF('[1]p15'!$C$15&lt;&gt;0,'[1]p15'!$C$15,"")</f>
        <v>I</v>
      </c>
      <c r="J22" s="53">
        <f>IF('[1]p15'!$F$15&lt;&gt;0,'[1]p15'!$F$15,"")</f>
        <v>40</v>
      </c>
      <c r="K22" s="50" t="str">
        <f>IF('[1]p15'!$G$15&lt;&gt;0,'[1]p15'!$G$15,"")</f>
        <v>DE</v>
      </c>
      <c r="L22" s="516" t="str">
        <f>T('[1]p15'!$H$15:$J$15)</f>
        <v>Docente do Quadro Efetivo</v>
      </c>
      <c r="M22" s="517"/>
      <c r="N22" s="518"/>
      <c r="O22" s="19">
        <f>IF('[1]p15'!$D$15&lt;&gt;0,'[1]p15'!$D$15,"")</f>
        <v>39372</v>
      </c>
      <c r="P22" s="18" t="str">
        <f>IF('[1]p15'!$E$15&lt;&gt;0,'[1]p15'!$E$15,"")</f>
        <v>Redistr.</v>
      </c>
      <c r="Q22" s="19">
        <f>IF('[1]p15'!$K$15&lt;&gt;0,'[1]p15'!$K$15,"")</f>
      </c>
      <c r="R22" s="49">
        <f>IF('[1]p15'!$L$15&lt;&gt;0,'[1]p15'!$L$15,"")</f>
      </c>
      <c r="S22" s="21" t="str">
        <f>IF('[1]p16'!$L$13&lt;&gt;0,'[1]p16'!$L$13,"")</f>
        <v>Ativa</v>
      </c>
    </row>
    <row r="23" spans="1:19" s="20" customFormat="1" ht="12.75">
      <c r="A23" s="21">
        <f>IF('[1]p16'!$C$13&gt;0,16,"")</f>
        <v>16</v>
      </c>
      <c r="B23" s="513" t="str">
        <f>T('[1]p16'!$C$13:$G$13)</f>
        <v>Gilberto da Silva Matos</v>
      </c>
      <c r="C23" s="514" t="s">
        <v>173</v>
      </c>
      <c r="D23" s="514" t="s">
        <v>173</v>
      </c>
      <c r="E23" s="515" t="s">
        <v>173</v>
      </c>
      <c r="F23" s="21" t="str">
        <f>IF('[1]p16'!$J$13&gt;0,'[1]p16'!$J$13,"")</f>
        <v>1350510-4</v>
      </c>
      <c r="G23" s="17" t="str">
        <f>IF('[1]p16'!$A$15&lt;&gt;0,'[1]p16'!$A$15,"")</f>
        <v>Mestre</v>
      </c>
      <c r="H23" s="17" t="str">
        <f>IF('[1]p16'!$B$15&lt;&gt;0,'[1]p16'!$B$15,"")</f>
        <v>Assistente</v>
      </c>
      <c r="I23" s="18" t="str">
        <f>IF('[1]p16'!$C$15&lt;&gt;0,'[1]p16'!$C$15,"")</f>
        <v>I</v>
      </c>
      <c r="J23" s="53">
        <f>IF('[1]p16'!$F$15&lt;&gt;0,'[1]p16'!$F$15,"")</f>
        <v>40</v>
      </c>
      <c r="K23" s="50" t="str">
        <f>IF('[1]p16'!$G$15&lt;&gt;0,'[1]p16'!$G$15,"")</f>
        <v>DE</v>
      </c>
      <c r="L23" s="516" t="str">
        <f>T('[1]p16'!$H$15:$J$15)</f>
        <v>Docente em Estágio Probatório</v>
      </c>
      <c r="M23" s="517"/>
      <c r="N23" s="518"/>
      <c r="O23" s="19" t="str">
        <f>IF('[1]p16'!$D$15&lt;&gt;0,'[1]p16'!$D$15,"")</f>
        <v>25/04/02</v>
      </c>
      <c r="P23" s="18" t="str">
        <f>IF('[1]p16'!$E$15&lt;&gt;0,'[1]p16'!$E$15,"")</f>
        <v>Concur.</v>
      </c>
      <c r="Q23" s="19">
        <f>IF('[1]p16'!$K$15&lt;&gt;0,'[1]p16'!$K$15,"")</f>
      </c>
      <c r="R23" s="49">
        <f>IF('[1]p16'!$L$15&lt;&gt;0,'[1]p16'!$L$15,"")</f>
      </c>
      <c r="S23" s="21" t="str">
        <f>IF('[1]p16'!$L$13&lt;&gt;0,'[1]p16'!$L$13,"")</f>
        <v>Ativa</v>
      </c>
    </row>
    <row r="24" spans="1:19" s="20" customFormat="1" ht="12.75">
      <c r="A24" s="21">
        <f>IF('[1]p17'!$C$13&gt;0,17,"")</f>
        <v>17</v>
      </c>
      <c r="B24" s="513" t="str">
        <f>T('[1]p17'!$C$13:$G$13)</f>
        <v>Henrique Fernandes de Lima</v>
      </c>
      <c r="C24" s="514" t="s">
        <v>190</v>
      </c>
      <c r="D24" s="514" t="s">
        <v>190</v>
      </c>
      <c r="E24" s="515" t="s">
        <v>190</v>
      </c>
      <c r="F24" s="21" t="str">
        <f>IF('[1]p17'!$J$13&gt;0,'[1]p17'!$J$13,"")</f>
        <v>1459040-7</v>
      </c>
      <c r="G24" s="17" t="str">
        <f>IF('[1]p17'!$A$15&lt;&gt;0,'[1]p17'!$A$15,"")</f>
        <v>Doutor</v>
      </c>
      <c r="H24" s="17" t="str">
        <f>IF('[1]p17'!$B$15&lt;&gt;0,'[1]p17'!$B$15,"")</f>
        <v>Adjunto</v>
      </c>
      <c r="I24" s="18" t="str">
        <f>IF('[1]p17'!$C$15&lt;&gt;0,'[1]p17'!$C$15,"")</f>
        <v>I</v>
      </c>
      <c r="J24" s="53">
        <f>IF('[1]p17'!$F$15&lt;&gt;0,'[1]p17'!$F$15,"")</f>
        <v>40</v>
      </c>
      <c r="K24" s="50" t="str">
        <f>IF('[1]p17'!$G$15&lt;&gt;0,'[1]p17'!$G$15,"")</f>
        <v>DE</v>
      </c>
      <c r="L24" s="516" t="str">
        <f>T('[1]p17'!$H$15:$J$15)</f>
        <v>Docente em Estágio Probatório</v>
      </c>
      <c r="M24" s="517"/>
      <c r="N24" s="518"/>
      <c r="O24" s="19">
        <f>IF('[1]p17'!$D$15&lt;&gt;0,'[1]p17'!$D$15,"")</f>
        <v>38175</v>
      </c>
      <c r="P24" s="18" t="str">
        <f>IF('[1]p17'!$E$15&lt;&gt;0,'[1]p17'!$E$15,"")</f>
        <v>Concur.</v>
      </c>
      <c r="Q24" s="19">
        <f>IF('[1]p17'!$K$15&lt;&gt;0,'[1]p17'!$K$15,"")</f>
      </c>
      <c r="R24" s="49">
        <f>IF('[1]p17'!$L$15&lt;&gt;0,'[1]p17'!$L$15,"")</f>
      </c>
      <c r="S24" s="21" t="str">
        <f>IF('[1]p17'!$L$13&lt;&gt;0,'[1]p17'!$L$13,"")</f>
        <v>Ativa</v>
      </c>
    </row>
    <row r="25" spans="1:19" s="20" customFormat="1" ht="12.75">
      <c r="A25" s="21">
        <f>IF('[1]p18'!$C$13&gt;0,18,"")</f>
        <v>18</v>
      </c>
      <c r="B25" s="513" t="str">
        <f>T('[1]p18'!$C$13:$G$13)</f>
        <v>Izabel Maria Barbosa de Albuquerque</v>
      </c>
      <c r="C25" s="514" t="s">
        <v>191</v>
      </c>
      <c r="D25" s="514" t="s">
        <v>191</v>
      </c>
      <c r="E25" s="515" t="s">
        <v>191</v>
      </c>
      <c r="F25" s="21" t="str">
        <f>IF('[1]p18'!$J$13&gt;0,'[1]p18'!$J$13,"")</f>
        <v>0334048-0</v>
      </c>
      <c r="G25" s="17" t="str">
        <f>IF('[1]p18'!$A$15&lt;&gt;0,'[1]p18'!$A$15,"")</f>
        <v>Doutor</v>
      </c>
      <c r="H25" s="17" t="str">
        <f>IF('[1]p18'!$B$15&lt;&gt;0,'[1]p18'!$B$15,"")</f>
        <v>Adjunto</v>
      </c>
      <c r="I25" s="18" t="str">
        <f>IF('[1]p18'!$C$15&lt;&gt;0,'[1]p18'!$C$15,"")</f>
        <v>IV</v>
      </c>
      <c r="J25" s="53">
        <f>IF('[1]p18'!$F$15&lt;&gt;0,'[1]p18'!$F$15,"")</f>
        <v>40</v>
      </c>
      <c r="K25" s="50" t="str">
        <f>IF('[1]p18'!$G$15&lt;&gt;0,'[1]p18'!$G$15,"")</f>
        <v>DE</v>
      </c>
      <c r="L25" s="516" t="str">
        <f>T('[1]p18'!$H$15:$J$15)</f>
        <v>Docente do Quadro Efetivo</v>
      </c>
      <c r="M25" s="517"/>
      <c r="N25" s="518"/>
      <c r="O25" s="19">
        <f>IF('[1]p18'!$D$15&lt;&gt;0,'[1]p18'!$D$15,"")</f>
        <v>29290</v>
      </c>
      <c r="P25" s="18" t="str">
        <f>IF('[1]p18'!$E$15&lt;&gt;0,'[1]p18'!$E$15,"")</f>
        <v>Concur.</v>
      </c>
      <c r="Q25" s="19">
        <f>IF('[1]p18'!$K$15&lt;&gt;0,'[1]p18'!$K$15,"")</f>
      </c>
      <c r="R25" s="49">
        <f>IF('[1]p18'!$L$15&lt;&gt;0,'[1]p18'!$L$15,"")</f>
      </c>
      <c r="S25" s="21" t="str">
        <f>IF('[1]p18'!$L$13&lt;&gt;0,'[1]p18'!$L$13,"")</f>
        <v>Ativa</v>
      </c>
    </row>
    <row r="26" spans="1:19" s="20" customFormat="1" ht="12.75">
      <c r="A26" s="21">
        <f>IF('[1]p48'!$C$13&gt;0,19,"")</f>
        <v>19</v>
      </c>
      <c r="B26" s="513" t="str">
        <f>T('[1]p48'!$C$13:$G$13)</f>
        <v>Jaime Alves Barbosa Sobrinho</v>
      </c>
      <c r="C26" s="514" t="s">
        <v>192</v>
      </c>
      <c r="D26" s="514" t="s">
        <v>192</v>
      </c>
      <c r="E26" s="515" t="s">
        <v>192</v>
      </c>
      <c r="F26" s="21" t="str">
        <f>IF('[1]p48'!$J$13&gt;0,'[1]p48'!$J$13,"")</f>
        <v>0337185-7</v>
      </c>
      <c r="G26" s="17" t="str">
        <f>IF('[1]p48'!$A$15&lt;&gt;0,'[1]p48'!$A$15,"")</f>
        <v>Doutor</v>
      </c>
      <c r="H26" s="17" t="str">
        <f>IF('[1]p48'!$B$15&lt;&gt;0,'[1]p48'!$B$15,"")</f>
        <v>Associado</v>
      </c>
      <c r="I26" s="18" t="str">
        <f>IF('[1]p48'!$C$15&lt;&gt;0,'[1]p48'!$C$15,"")</f>
        <v>II</v>
      </c>
      <c r="J26" s="53">
        <f>IF('[1]p48'!$F$15&lt;&gt;0,'[1]p48'!$F$15,"")</f>
        <v>40</v>
      </c>
      <c r="K26" s="50" t="str">
        <f>IF('[1]p48'!$G$15&lt;&gt;0,'[1]p48'!$G$15,"")</f>
        <v>DE</v>
      </c>
      <c r="L26" s="516" t="str">
        <f>T('[1]p48'!$H$15:$J$15)</f>
        <v>Docente do Quadro Efetivo</v>
      </c>
      <c r="M26" s="517"/>
      <c r="N26" s="518"/>
      <c r="O26" s="19">
        <f>IF('[1]p48'!$D$15&lt;&gt;0,'[1]p48'!$D$15,"")</f>
        <v>32782</v>
      </c>
      <c r="P26" s="18" t="str">
        <f>IF('[1]p48'!$E$15&lt;&gt;0,'[1]p10'!$E$15,"")</f>
        <v>Concur.</v>
      </c>
      <c r="Q26" s="19">
        <f>IF('[1]p48'!$K$15&lt;&gt;0,'[1]p48'!$K$15,"")</f>
      </c>
      <c r="R26" s="49">
        <f>IF('[1]p48'!$L$15&lt;&gt;0,'[1]p10'!$L$15,"")</f>
      </c>
      <c r="S26" s="21" t="str">
        <f>IF('[1]p48'!$L$13&lt;&gt;0,'[1]p48'!$L$13,"")</f>
        <v>Ativa</v>
      </c>
    </row>
    <row r="27" spans="1:19" s="20" customFormat="1" ht="12.75">
      <c r="A27" s="21">
        <f>IF('[1]p19'!$C$13&gt;0,20,"")</f>
        <v>20</v>
      </c>
      <c r="B27" s="513" t="str">
        <f>T('[1]p19'!$C$13:$G$13)</f>
        <v>Jesualdo Gomes das Chagas</v>
      </c>
      <c r="C27" s="514" t="s">
        <v>192</v>
      </c>
      <c r="D27" s="514" t="s">
        <v>192</v>
      </c>
      <c r="E27" s="515" t="s">
        <v>192</v>
      </c>
      <c r="F27" s="21" t="str">
        <f>IF('[1]p19'!$J$13&gt;0,'[1]p19'!$J$13,"")</f>
        <v>2521330</v>
      </c>
      <c r="G27" s="17" t="str">
        <f>IF('[1]p19'!$A$15&lt;&gt;0,'[1]p19'!$A$15,"")</f>
        <v>Mestre</v>
      </c>
      <c r="H27" s="17" t="str">
        <f>IF('[1]p19'!$B$15&lt;&gt;0,'[1]p19'!$B$15,"")</f>
        <v>Assistente</v>
      </c>
      <c r="I27" s="18" t="str">
        <f>IF('[1]p19'!$C$15&lt;&gt;0,'[1]p19'!$C$15,"")</f>
        <v>I</v>
      </c>
      <c r="J27" s="53">
        <f>IF('[1]p19'!$F$15&lt;&gt;0,'[1]p19'!$F$15,"")</f>
        <v>40</v>
      </c>
      <c r="K27" s="50" t="str">
        <f>IF('[1]p19'!$G$15&lt;&gt;0,'[1]p19'!$G$15,"")</f>
        <v>DE</v>
      </c>
      <c r="L27" s="516" t="str">
        <f>T('[1]p19'!$H$15:$J$15)</f>
        <v>Docente em Estágio Probatório</v>
      </c>
      <c r="M27" s="517"/>
      <c r="N27" s="518"/>
      <c r="O27" s="19">
        <f>IF('[1]p19'!$D$15&lt;&gt;0,'[1]p19'!$D$15,"")</f>
        <v>38904</v>
      </c>
      <c r="P27" s="18" t="str">
        <f>IF('[1]p19'!$E$15&lt;&gt;0,'[1]p10'!$E$15,"")</f>
        <v>Concur.</v>
      </c>
      <c r="Q27" s="19">
        <f>IF('[1]p19'!$K$15&lt;&gt;0,'[1]p19'!$K$15,"")</f>
      </c>
      <c r="R27" s="49">
        <f>IF('[1]p19'!$L$15&lt;&gt;0,'[1]p10'!$L$15,"")</f>
      </c>
      <c r="S27" s="21" t="str">
        <f>IF('[1]p19'!$L$13&lt;&gt;0,'[1]p19'!$L$13,"")</f>
        <v>Ativa</v>
      </c>
    </row>
    <row r="28" spans="1:19" s="20" customFormat="1" ht="12.75">
      <c r="A28" s="21">
        <f>IF('[1]p20'!$C$13&gt;0,21,"")</f>
        <v>21</v>
      </c>
      <c r="B28" s="513" t="str">
        <f>T('[1]p20'!$C$13:$G$13)</f>
        <v>José de Arimatéia Fernandes</v>
      </c>
      <c r="C28" s="514" t="s">
        <v>192</v>
      </c>
      <c r="D28" s="514" t="s">
        <v>192</v>
      </c>
      <c r="E28" s="515" t="s">
        <v>192</v>
      </c>
      <c r="F28" s="21" t="str">
        <f>IF('[1]p20'!$J$13&gt;0,'[1]p20'!$J$13,"")</f>
        <v>1030217-2</v>
      </c>
      <c r="G28" s="17" t="str">
        <f>IF('[1]p20'!$A$15&lt;&gt;0,'[1]p20'!$A$15,"")</f>
        <v>Doutor</v>
      </c>
      <c r="H28" s="17" t="str">
        <f>IF('[1]p20'!$B$15&lt;&gt;0,'[1]p20'!$B$15,"")</f>
        <v>Adjunto</v>
      </c>
      <c r="I28" s="18" t="str">
        <f>IF('[1]p20'!$C$15&lt;&gt;0,'[1]p20'!$C$15,"")</f>
        <v>II</v>
      </c>
      <c r="J28" s="53">
        <f>IF('[1]p20'!$F$15&lt;&gt;0,'[1]p20'!$F$15,"")</f>
        <v>40</v>
      </c>
      <c r="K28" s="50" t="str">
        <f>IF('[1]p20'!$G$15&lt;&gt;0,'[1]p20'!$G$15,"")</f>
        <v>DE</v>
      </c>
      <c r="L28" s="516" t="str">
        <f>T('[1]p20'!$H$15:$J$15)</f>
        <v>Docente do Quadro Efetivo</v>
      </c>
      <c r="M28" s="517"/>
      <c r="N28" s="518"/>
      <c r="O28" s="19">
        <f>IF('[1]p20'!$D$15&lt;&gt;0,'[1]p20'!$D$15,"")</f>
        <v>34100</v>
      </c>
      <c r="P28" s="18" t="str">
        <f>IF('[1]p20'!$E$15&lt;&gt;0,'[1]p10'!$E$15,"")</f>
        <v>Concur.</v>
      </c>
      <c r="Q28" s="19">
        <f>IF('[1]p20'!$K$15&lt;&gt;0,'[1]p20'!$K$15,"")</f>
      </c>
      <c r="R28" s="49">
        <f>IF('[1]p20'!$L$15&lt;&gt;0,'[1]p10'!$L$15,"")</f>
      </c>
      <c r="S28" s="21" t="str">
        <f>IF('[1]p20'!$L$13&lt;&gt;0,'[1]p20'!$L$13,"")</f>
        <v>Ativa</v>
      </c>
    </row>
    <row r="29" spans="1:19" s="20" customFormat="1" ht="12.75">
      <c r="A29" s="21">
        <f>IF('[1]p21'!$C$13&gt;0,22,"")</f>
        <v>22</v>
      </c>
      <c r="B29" s="513" t="str">
        <f>T('[1]p21'!$C$13:$G$13)</f>
        <v>Joseilson Raimundo de Lima</v>
      </c>
      <c r="C29" s="514" t="s">
        <v>193</v>
      </c>
      <c r="D29" s="514" t="s">
        <v>193</v>
      </c>
      <c r="E29" s="515" t="s">
        <v>193</v>
      </c>
      <c r="F29" s="21" t="str">
        <f>IF('[1]p21'!$J$13&gt;0,'[1]p21'!$J$13,"")</f>
        <v>1314918-9</v>
      </c>
      <c r="G29" s="17" t="str">
        <f>IF('[1]p21'!$A$15&lt;&gt;0,'[1]p21'!$A$15,"")</f>
        <v>Mestre</v>
      </c>
      <c r="H29" s="17" t="str">
        <f>IF('[1]p21'!$B$15&lt;&gt;0,'[1]p21'!$B$15,"")</f>
        <v>Assistente</v>
      </c>
      <c r="I29" s="18" t="str">
        <f>IF('[1]p21'!$C$15&lt;&gt;0,'[1]p21'!$C$15,"")</f>
        <v>I</v>
      </c>
      <c r="J29" s="53">
        <f>IF('[1]p21'!$F$15&lt;&gt;0,'[1]p21'!$F$15,"")</f>
        <v>40</v>
      </c>
      <c r="K29" s="50" t="str">
        <f>IF('[1]p21'!$G$15&lt;&gt;0,'[1]p21'!$G$15,"")</f>
        <v>DE</v>
      </c>
      <c r="L29" s="516" t="str">
        <f>T('[1]p21'!$H$15:$J$15)</f>
        <v>Docente em Estágio Probatório</v>
      </c>
      <c r="M29" s="517"/>
      <c r="N29" s="518"/>
      <c r="O29" s="19">
        <f>IF('[1]p21'!$D$15&lt;&gt;0,'[1]p21'!$D$15,"")</f>
        <v>37426</v>
      </c>
      <c r="P29" s="18" t="str">
        <f>IF('[1]p21'!$E$15&lt;&gt;0,'[1]p21'!$E$15,"")</f>
        <v>Concur.</v>
      </c>
      <c r="Q29" s="19">
        <f>IF('[1]p21'!$K$15&lt;&gt;0,'[1]p21'!$K$15,"")</f>
      </c>
      <c r="R29" s="49">
        <f>IF('[1]p21'!$L$15&lt;&gt;0,'[1]p21'!$L$15,"")</f>
      </c>
      <c r="S29" s="21" t="str">
        <f>IF('[1]p21'!$L$13&lt;&gt;0,'[1]p21'!$L$13,"")</f>
        <v>Ativa</v>
      </c>
    </row>
    <row r="30" spans="1:19" s="20" customFormat="1" ht="12.75">
      <c r="A30" s="21">
        <f>IF('[1]p22'!$C$13&gt;0,23,"")</f>
        <v>23</v>
      </c>
      <c r="B30" s="513" t="str">
        <f>T('[1]p22'!$C$13:$G$13)</f>
        <v>José Lindomberg Possiano Barreiro</v>
      </c>
      <c r="C30" s="514" t="s">
        <v>194</v>
      </c>
      <c r="D30" s="514" t="s">
        <v>194</v>
      </c>
      <c r="E30" s="515" t="s">
        <v>194</v>
      </c>
      <c r="F30" s="21" t="str">
        <f>IF('[1]p22'!$J$13&gt;0,'[1]p22'!$J$13,"")</f>
        <v>2318350-9</v>
      </c>
      <c r="G30" s="17" t="str">
        <f>IF('[1]p22'!$A$15&lt;&gt;0,'[1]p22'!$A$15,"")</f>
        <v>Mestre</v>
      </c>
      <c r="H30" s="17" t="str">
        <f>IF('[1]p22'!$B$15&lt;&gt;0,'[1]p22'!$B$15,"")</f>
        <v>Assistente</v>
      </c>
      <c r="I30" s="18" t="str">
        <f>IF('[1]p22'!$C$15&lt;&gt;0,'[1]p22'!$C$15,"")</f>
        <v>II</v>
      </c>
      <c r="J30" s="53">
        <f>IF('[1]p22'!$F$15&lt;&gt;0,'[1]p22'!$F$15,"")</f>
        <v>40</v>
      </c>
      <c r="K30" s="50" t="str">
        <f>IF('[1]p22'!$G$15&lt;&gt;0,'[1]p22'!$G$15,"")</f>
        <v>DE</v>
      </c>
      <c r="L30" s="516" t="str">
        <f>T('[1]p22'!$H$15:$J$15)</f>
        <v>Docente do Quadro Efetivo</v>
      </c>
      <c r="M30" s="517"/>
      <c r="N30" s="518"/>
      <c r="O30" s="19">
        <f>IF('[1]p22'!$D$15&lt;&gt;0,'[1]p22'!$D$15,"")</f>
        <v>38201</v>
      </c>
      <c r="P30" s="18" t="str">
        <f>IF('[1]p22'!$E$15&lt;&gt;0,'[1]p22'!$E$15,"")</f>
        <v>Concur.</v>
      </c>
      <c r="Q30" s="19">
        <f>IF('[1]p22'!$K$15&lt;&gt;0,'[1]p22'!$K$15,"")</f>
      </c>
      <c r="R30" s="49">
        <f>IF('[1]p22'!$L$15&lt;&gt;0,'[1]p22'!$L$15,"")</f>
      </c>
      <c r="S30" s="21" t="str">
        <f>IF('[1]p22'!$L$13&lt;&gt;0,'[1]p22'!$L$13,"")</f>
        <v>Ativa</v>
      </c>
    </row>
    <row r="31" spans="1:19" s="20" customFormat="1" ht="12.75">
      <c r="A31" s="21">
        <f>IF('[1]p23'!$C$13&gt;0,24,"")</f>
        <v>24</v>
      </c>
      <c r="B31" s="513" t="str">
        <f>T('[1]p23'!$C$13:$G$13)</f>
        <v>José Luiz Neto</v>
      </c>
      <c r="C31" s="514" t="s">
        <v>196</v>
      </c>
      <c r="D31" s="514" t="s">
        <v>196</v>
      </c>
      <c r="E31" s="515" t="s">
        <v>196</v>
      </c>
      <c r="F31" s="21" t="str">
        <f>IF('[1]p23'!$J$13&gt;0,'[1]p23'!$J$13,"")</f>
        <v>0332568-5</v>
      </c>
      <c r="G31" s="17" t="str">
        <f>IF('[1]p23'!$A$15&lt;&gt;0,'[1]p23'!$A$15,"")</f>
        <v>Mestre</v>
      </c>
      <c r="H31" s="17" t="str">
        <f>IF('[1]p23'!$B$15&lt;&gt;0,'[1]p23'!$B$15,"")</f>
        <v>Adjunto</v>
      </c>
      <c r="I31" s="18" t="str">
        <f>IF('[1]p23'!$C$15&lt;&gt;0,'[1]p23'!$C$15,"")</f>
        <v>IV</v>
      </c>
      <c r="J31" s="53">
        <f>IF('[1]p23'!$F$15&lt;&gt;0,'[1]p23'!$F$15,"")</f>
        <v>40</v>
      </c>
      <c r="K31" s="50" t="str">
        <f>IF('[1]p23'!$G$15&lt;&gt;0,'[1]p23'!$G$15,"")</f>
        <v>DE</v>
      </c>
      <c r="L31" s="516" t="str">
        <f>T('[1]p23'!$H$15:$J$15)</f>
        <v>Docente do Quadro Efetivo</v>
      </c>
      <c r="M31" s="517"/>
      <c r="N31" s="518"/>
      <c r="O31" s="19">
        <f>IF('[1]p23'!$D$15&lt;&gt;0,'[1]p23'!$D$15,"")</f>
        <v>28858</v>
      </c>
      <c r="P31" s="18" t="str">
        <f>IF('[1]p23'!$E$15&lt;&gt;0,'[1]p23'!$E$15,"")</f>
        <v>Concur.</v>
      </c>
      <c r="Q31" s="19">
        <f>IF('[1]p23'!$K$15&lt;&gt;0,'[1]p23'!$K$15,"")</f>
      </c>
      <c r="R31" s="49">
        <f>IF('[1]p23'!$L$15&lt;&gt;0,'[1]p23'!$L$15,"")</f>
      </c>
      <c r="S31" s="21" t="str">
        <f>IF('[1]p23'!$L$13&lt;&gt;0,'[1]p23'!$L$13,"")</f>
        <v>Ativa</v>
      </c>
    </row>
    <row r="32" spans="1:19" s="20" customFormat="1" ht="12.75">
      <c r="A32" s="21">
        <f>IF('[1]p24'!$C$13&gt;0,25,"")</f>
        <v>25</v>
      </c>
      <c r="B32" s="513" t="str">
        <f>T('[1]p24'!$C$13:$G$13)</f>
        <v>Luiz Mendes Albuquerque Neto</v>
      </c>
      <c r="C32" s="514" t="s">
        <v>197</v>
      </c>
      <c r="D32" s="514" t="s">
        <v>197</v>
      </c>
      <c r="E32" s="515" t="s">
        <v>197</v>
      </c>
      <c r="F32" s="21" t="str">
        <f>IF('[1]p24'!$J$13&gt;0,'[1]p24'!$J$13,"")</f>
        <v>0332695-9</v>
      </c>
      <c r="G32" s="17" t="str">
        <f>IF('[1]p24'!$A$15&lt;&gt;0,'[1]p24'!$A$15,"")</f>
        <v>Mestre</v>
      </c>
      <c r="H32" s="17" t="str">
        <f>IF('[1]p24'!$B$15&lt;&gt;0,'[1]p24'!$B$15,"")</f>
        <v>Adjunto</v>
      </c>
      <c r="I32" s="18" t="str">
        <f>IF('[1]p24'!$C$15&lt;&gt;0,'[1]p24'!$C$15,"")</f>
        <v>IV</v>
      </c>
      <c r="J32" s="53">
        <f>IF('[1]p24'!$F$15&lt;&gt;0,'[1]p24'!$F$15,"")</f>
        <v>40</v>
      </c>
      <c r="K32" s="50" t="str">
        <f>IF('[1]p24'!$G$15&lt;&gt;0,'[1]p24'!$G$15,"")</f>
        <v>DE</v>
      </c>
      <c r="L32" s="516" t="str">
        <f>T('[1]p24'!$H$15:$J$15)</f>
        <v>Docente do Quadro Efetivo</v>
      </c>
      <c r="M32" s="517"/>
      <c r="N32" s="518"/>
      <c r="O32" s="19">
        <f>IF('[1]p24'!$D$15&lt;&gt;0,'[1]p24'!$D$15,"")</f>
        <v>28929</v>
      </c>
      <c r="P32" s="18" t="str">
        <f>IF('[1]p24'!$E$15&lt;&gt;0,'[1]p24'!$E$15,"")</f>
        <v>Concur.</v>
      </c>
      <c r="Q32" s="19">
        <f>IF('[1]p24'!$K$15&lt;&gt;0,'[1]p24'!$K$15,"")</f>
      </c>
      <c r="R32" s="49">
        <f>IF('[1]p24'!$L$15&lt;&gt;0,'[1]p24'!$L$15,"")</f>
      </c>
      <c r="S32" s="21" t="str">
        <f>IF('[1]p24'!$L$13&lt;&gt;0,'[1]p24'!$L$13,"")</f>
        <v>Ativa</v>
      </c>
    </row>
    <row r="33" spans="1:19" s="20" customFormat="1" ht="12.75">
      <c r="A33" s="21">
        <f>IF('[1]p25'!$C$13&gt;0,26,"")</f>
        <v>26</v>
      </c>
      <c r="B33" s="513" t="str">
        <f>T('[1]p25'!$C$13:$G$13)</f>
        <v>Marcelo Carvalho Ferreira</v>
      </c>
      <c r="C33" s="514" t="s">
        <v>199</v>
      </c>
      <c r="D33" s="514" t="s">
        <v>199</v>
      </c>
      <c r="E33" s="515" t="s">
        <v>199</v>
      </c>
      <c r="F33" s="21" t="str">
        <f>IF('[1]p25'!$J$13&gt;0,'[1]p25'!$J$13,"")</f>
        <v>2544479</v>
      </c>
      <c r="G33" s="17" t="str">
        <f>IF('[1]p25'!$A$15&lt;&gt;0,'[1]p25'!$A$15,"")</f>
        <v>Mestre</v>
      </c>
      <c r="H33" s="17" t="str">
        <f>IF('[1]p25'!$B$15&lt;&gt;0,'[1]p25'!$B$15,"")</f>
        <v>Assistente</v>
      </c>
      <c r="I33" s="18" t="str">
        <f>IF('[1]p25'!$C$15&lt;&gt;0,'[1]p26'!$C$15,"")</f>
        <v>Único</v>
      </c>
      <c r="J33" s="53">
        <f>IF('[1]p25'!$F$15&lt;&gt;0,'[1]p25'!$F$15,"")</f>
        <v>40</v>
      </c>
      <c r="K33" s="50" t="str">
        <f>IF('[1]p25'!$G$15&lt;&gt;0,'[1]p25'!$G$15,"")</f>
        <v>DE</v>
      </c>
      <c r="L33" s="516" t="str">
        <f>T('[1]p25'!$H$15:$J$15)</f>
        <v>Docente em Estágio Probatório</v>
      </c>
      <c r="M33" s="517"/>
      <c r="N33" s="518"/>
      <c r="O33" s="19">
        <f>IF('[1]p25'!$D$15&lt;&gt;0,'[1]p25'!$D$15,"")</f>
        <v>39114</v>
      </c>
      <c r="P33" s="18" t="str">
        <f>IF('[1]p25'!$E$15&lt;&gt;0,'[1]p25'!$E$15,"")</f>
        <v>Concur.</v>
      </c>
      <c r="Q33" s="19">
        <f>IF('[1]p25'!$K$15&lt;&gt;0,'[1]p25'!$K$15,"")</f>
      </c>
      <c r="R33" s="49">
        <f>IF('[1]p25'!$L$15&lt;&gt;0,'[1]p25'!$L$15,"")</f>
      </c>
      <c r="S33" s="21" t="str">
        <f>IF('[1]p25'!$L$13&lt;&gt;0,'[1]p25'!$L$13,"")</f>
        <v>Ativa</v>
      </c>
    </row>
    <row r="34" spans="1:19" s="20" customFormat="1" ht="12.75">
      <c r="A34" s="21">
        <f>IF('[1]p26'!$C$13&gt;0,27,"")</f>
        <v>27</v>
      </c>
      <c r="B34" s="513" t="str">
        <f>T('[1]p26'!$C$13:$G$13)</f>
        <v>Marco Aurélio Soares Souto</v>
      </c>
      <c r="C34" s="514" t="s">
        <v>200</v>
      </c>
      <c r="D34" s="514" t="s">
        <v>200</v>
      </c>
      <c r="E34" s="515" t="s">
        <v>200</v>
      </c>
      <c r="F34" s="21" t="str">
        <f>IF('[1]p26'!$J$13&gt;0,'[1]p26'!$J$13,"")</f>
        <v>0337123-7</v>
      </c>
      <c r="G34" s="17" t="str">
        <f>IF('[1]p26'!$A$15&lt;&gt;0,'[1]p26'!$A$15,"")</f>
        <v>Doutor</v>
      </c>
      <c r="H34" s="17" t="str">
        <f>IF('[1]p26'!$B$15&lt;&gt;0,'[1]p26'!$B$15,"")</f>
        <v>Titular</v>
      </c>
      <c r="I34" s="18" t="str">
        <f>IF('[1]p26'!$C$15&lt;&gt;0,'[1]p26'!$C$15,"")</f>
        <v>Único</v>
      </c>
      <c r="J34" s="53">
        <f>IF('[1]p26'!$F$15&lt;&gt;0,'[1]p26'!$F$15,"")</f>
        <v>40</v>
      </c>
      <c r="K34" s="50" t="str">
        <f>IF('[1]p26'!$G$15&lt;&gt;0,'[1]p26'!$G$15,"")</f>
        <v>DE</v>
      </c>
      <c r="L34" s="516" t="str">
        <f>T('[1]p26'!$H$15:$J$15)</f>
        <v>Docente do Quadro Efetivo</v>
      </c>
      <c r="M34" s="517"/>
      <c r="N34" s="518"/>
      <c r="O34" s="19">
        <f>IF('[1]p26'!$D$15&lt;&gt;0,'[1]p26'!$D$15,"")</f>
        <v>31625</v>
      </c>
      <c r="P34" s="18" t="str">
        <f>IF('[1]p26'!$E$15&lt;&gt;0,'[1]p26'!$E$15,"")</f>
        <v>Transf.</v>
      </c>
      <c r="Q34" s="19">
        <f>IF('[1]p26'!$K$15&lt;&gt;0,'[1]p26'!$K$15,"")</f>
      </c>
      <c r="R34" s="49">
        <f>IF('[1]p26'!$L$15&lt;&gt;0,'[1]p26'!$L$15,"")</f>
      </c>
      <c r="S34" s="21" t="str">
        <f>IF('[1]p26'!$L$13&lt;&gt;0,'[1]p26'!$L$13,"")</f>
        <v>Ativa</v>
      </c>
    </row>
    <row r="35" spans="1:19" s="20" customFormat="1" ht="12.75">
      <c r="A35" s="21">
        <f>IF('[1]p27'!$C$13&gt;0,28,"")</f>
        <v>28</v>
      </c>
      <c r="B35" s="513" t="str">
        <f>T('[1]p27'!$C$13:$G$13)</f>
        <v>Marisa de Sales Monteiro</v>
      </c>
      <c r="C35" s="514" t="s">
        <v>201</v>
      </c>
      <c r="D35" s="514" t="s">
        <v>201</v>
      </c>
      <c r="E35" s="515" t="s">
        <v>201</v>
      </c>
      <c r="F35" s="21" t="str">
        <f>IF('[1]p27'!$J$13&gt;0,'[1]p27'!$J$13,"")</f>
        <v>0329262</v>
      </c>
      <c r="G35" s="17" t="str">
        <f>IF('[1]p27'!$A$15&lt;&gt;0,'[1]p27'!$A$15,"")</f>
        <v>Mestre</v>
      </c>
      <c r="H35" s="17" t="str">
        <f>IF('[1]p27'!$B$15&lt;&gt;0,'[1]p27'!$B$15,"")</f>
        <v>Adjunto</v>
      </c>
      <c r="I35" s="18" t="str">
        <f>IF('[1]p27'!$C$15&lt;&gt;0,'[1]p27'!$C$15,"")</f>
        <v>IV</v>
      </c>
      <c r="J35" s="53">
        <f>IF('[1]p27'!$F$15&lt;&gt;0,'[1]p27'!$F$15,"")</f>
        <v>40</v>
      </c>
      <c r="K35" s="50" t="str">
        <f>IF('[1]p27'!$G$15&lt;&gt;0,'[1]p27'!$G$15,"")</f>
        <v>DE</v>
      </c>
      <c r="L35" s="516" t="str">
        <f>T('[1]p27'!$H$15:$J$15)</f>
        <v>Docente do Quadro Efetivo</v>
      </c>
      <c r="M35" s="517"/>
      <c r="N35" s="518"/>
      <c r="O35" s="19">
        <f>IF('[1]p27'!$D$15&lt;&gt;0,'[1]p27'!$D$15,"")</f>
        <v>25206</v>
      </c>
      <c r="P35" s="18" t="str">
        <f>IF('[1]p27'!$E$15&lt;&gt;0,'[1]p27'!$E$15,"")</f>
        <v>Contrato</v>
      </c>
      <c r="Q35" s="19">
        <f>IF('[1]p27'!$K$15&lt;&gt;0,'[1]p27'!$K$15,"")</f>
        <v>39577</v>
      </c>
      <c r="R35" s="49" t="str">
        <f>IF('[1]p27'!$L$15&lt;&gt;0,'[1]p27'!$L$15,"")</f>
        <v>Aposent.</v>
      </c>
      <c r="S35" s="21" t="str">
        <f>IF('[1]p27'!$L$13&lt;&gt;0,'[1]p27'!$L$13,"")</f>
        <v>Ativa</v>
      </c>
    </row>
    <row r="36" spans="1:19" s="20" customFormat="1" ht="12.75">
      <c r="A36" s="21">
        <f>IF('[1]p28'!$C$13&gt;0,29,"")</f>
        <v>29</v>
      </c>
      <c r="B36" s="513" t="str">
        <f>T('[1]p28'!$C$13:$G$13)</f>
        <v>Michelli Karinne Barros da Silva</v>
      </c>
      <c r="C36" s="514" t="s">
        <v>202</v>
      </c>
      <c r="D36" s="514" t="s">
        <v>202</v>
      </c>
      <c r="E36" s="515" t="s">
        <v>202</v>
      </c>
      <c r="F36" s="21" t="str">
        <f>IF('[1]p28'!$J$13&gt;0,'[1]p28'!$J$13,"")</f>
        <v>15462941</v>
      </c>
      <c r="G36" s="17" t="str">
        <f>IF('[1]p28'!$A$15&lt;&gt;0,'[1]p28'!$A$15,"")</f>
        <v>Doutor</v>
      </c>
      <c r="H36" s="17" t="str">
        <f>IF('[1]p28'!$B$15&lt;&gt;0,'[1]p28'!$B$15,"")</f>
        <v>Adjunto</v>
      </c>
      <c r="I36" s="18" t="str">
        <f>IF('[1]p28'!$C$15&lt;&gt;0,'[1]p28'!$C$15,"")</f>
        <v>I</v>
      </c>
      <c r="J36" s="53">
        <f>IF('[1]p28'!$F$15&lt;&gt;0,'[1]p28'!$F$15,"")</f>
        <v>40</v>
      </c>
      <c r="K36" s="50" t="str">
        <f>IF('[1]p28'!$G$15&lt;&gt;0,'[1]p28'!$G$15,"")</f>
        <v>DE</v>
      </c>
      <c r="L36" s="516" t="str">
        <f>T('[1]p28'!$H$15:$J$15)</f>
        <v>Docente em Estágio Probatório</v>
      </c>
      <c r="M36" s="517"/>
      <c r="N36" s="518"/>
      <c r="O36" s="19">
        <f>IF('[1]p28'!$D$15&lt;&gt;0,'[1]p28'!$D$15,"")</f>
        <v>38943</v>
      </c>
      <c r="P36" s="18" t="str">
        <f>IF('[1]p28'!$E$15&lt;&gt;0,'[1]p28'!$E$15,"")</f>
        <v>Concur.</v>
      </c>
      <c r="Q36" s="19">
        <f>IF('[1]p28'!$K$15&lt;&gt;0,'[1]p28'!$K$15,"")</f>
      </c>
      <c r="R36" s="49">
        <f>IF('[1]p28'!$L$15&lt;&gt;0,'[1]p28'!$L$15,"")</f>
      </c>
      <c r="S36" s="21" t="str">
        <f>IF('[1]p28'!$L$13&lt;&gt;0,'[1]p28'!$L$13,"")</f>
        <v>Ativa</v>
      </c>
    </row>
    <row r="37" spans="1:19" s="20" customFormat="1" ht="12.75">
      <c r="A37" s="21">
        <f>IF('[1]p29'!$C$13&gt;0,30,"")</f>
        <v>30</v>
      </c>
      <c r="B37" s="513" t="str">
        <f>T('[1]p29'!$C$13:$G$13)</f>
        <v>Miriam Costa</v>
      </c>
      <c r="C37" s="514" t="s">
        <v>174</v>
      </c>
      <c r="D37" s="514" t="s">
        <v>174</v>
      </c>
      <c r="E37" s="515" t="s">
        <v>174</v>
      </c>
      <c r="F37" s="21" t="str">
        <f>IF('[1]p29'!$J$13&gt;0,'[1]p29'!$J$13,"")</f>
        <v>03369780</v>
      </c>
      <c r="G37" s="17" t="str">
        <f>IF('[1]p29'!$A$15&lt;&gt;0,'[1]p29'!$A$15,"")</f>
        <v>Mestre</v>
      </c>
      <c r="H37" s="17" t="str">
        <f>IF('[1]p29'!$B$15&lt;&gt;0,'[1]p29'!$B$15,"")</f>
        <v>Adjunto</v>
      </c>
      <c r="I37" s="18" t="str">
        <f>IF('[1]p29'!$C$15&lt;&gt;0,'[1]p29'!$C$15,"")</f>
        <v>IV</v>
      </c>
      <c r="J37" s="53">
        <f>IF('[1]p29'!$F$15&lt;&gt;0,'[1]p29'!$F$15,"")</f>
        <v>40</v>
      </c>
      <c r="K37" s="50" t="str">
        <f>IF('[1]p29'!$G$15&lt;&gt;0,'[1]p29'!$G$15,"")</f>
        <v>DE</v>
      </c>
      <c r="L37" s="516" t="str">
        <f>T('[1]p29'!$H$15:$J$15)</f>
        <v>Docente do Quadro Efetivo</v>
      </c>
      <c r="M37" s="517"/>
      <c r="N37" s="518"/>
      <c r="O37" s="19">
        <f>IF('[1]p29'!$D$15&lt;&gt;0,'[1]p29'!$D$15,"")</f>
        <v>31625</v>
      </c>
      <c r="P37" s="18" t="str">
        <f>IF('[1]p29'!$E$15&lt;&gt;0,'[1]p29'!$E$15,"")</f>
        <v>Concur.</v>
      </c>
      <c r="Q37" s="19">
        <f>IF('[1]p29'!$K$15&lt;&gt;0,'[1]p29'!$K$15,"")</f>
      </c>
      <c r="R37" s="49">
        <f>IF('[1]p29'!$L$15&lt;&gt;0,'[1]p29'!$L$15,"")</f>
      </c>
      <c r="S37" s="21" t="str">
        <f>IF('[1]p29'!$L$13&lt;&gt;0,'[1]p29'!$L$13,"")</f>
        <v>Ativa</v>
      </c>
    </row>
    <row r="38" spans="1:19" s="20" customFormat="1" ht="12.75">
      <c r="A38" s="21">
        <f>IF('[1]p30'!$C$13&gt;0,31,"")</f>
        <v>31</v>
      </c>
      <c r="B38" s="513" t="str">
        <f>T('[1]p30'!$C$13:$G$13)</f>
        <v>Patrícia Batista Leal</v>
      </c>
      <c r="C38" s="514" t="s">
        <v>175</v>
      </c>
      <c r="D38" s="514" t="s">
        <v>175</v>
      </c>
      <c r="E38" s="515" t="s">
        <v>175</v>
      </c>
      <c r="F38" s="21" t="str">
        <f>IF('[1]p30'!$J$13&gt;0,'[1]p30'!$J$13,"")</f>
        <v>2337374-0</v>
      </c>
      <c r="G38" s="17" t="str">
        <f>IF('[1]p30'!$A$15&lt;&gt;0,'[1]p30'!$A$15,"")</f>
        <v>Mestre</v>
      </c>
      <c r="H38" s="17" t="str">
        <f>IF('[1]p30'!$B$15&lt;&gt;0,'[1]p30'!$B$15,"")</f>
        <v>Assistente</v>
      </c>
      <c r="I38" s="18" t="str">
        <f>IF('[1]p30'!$C$15&lt;&gt;0,'[1]p30'!$C$15,"")</f>
        <v>I</v>
      </c>
      <c r="J38" s="53">
        <f>IF('[1]p30'!$F$15&lt;&gt;0,'[1]p30'!$F$15,"")</f>
        <v>40</v>
      </c>
      <c r="K38" s="50" t="str">
        <f>IF('[1]p30'!$G$15&lt;&gt;0,'[1]p30'!$G$15,"")</f>
        <v>DE</v>
      </c>
      <c r="L38" s="516" t="str">
        <f>T('[1]p30'!$H$15:$J$15)</f>
        <v>Docente em Estágio Probatório</v>
      </c>
      <c r="M38" s="517"/>
      <c r="N38" s="518"/>
      <c r="O38" s="19">
        <f>IF('[1]p30'!$D$15&lt;&gt;0,'[1]p30'!$D$15,"")</f>
        <v>38707</v>
      </c>
      <c r="P38" s="18" t="str">
        <f>IF('[1]p30'!$E$15&lt;&gt;0,'[1]p30'!$E$15,"")</f>
        <v>Concur.</v>
      </c>
      <c r="Q38" s="19">
        <f>IF('[1]p30'!$K$15&lt;&gt;0,'[1]p30'!$K$15,"")</f>
      </c>
      <c r="R38" s="49">
        <f>IF('[1]p30'!$L$15&lt;&gt;0,'[1]p30'!$L$15,"")</f>
      </c>
      <c r="S38" s="21" t="str">
        <f>IF('[1]p30'!$L$13&lt;&gt;0,'[1]p30'!$L$13,"")</f>
        <v>Ativa</v>
      </c>
    </row>
    <row r="39" spans="1:19" s="20" customFormat="1" ht="12.75">
      <c r="A39" s="21">
        <f>IF('[1]p31'!$C$13&gt;0,32,"")</f>
        <v>32</v>
      </c>
      <c r="B39" s="513" t="str">
        <f>T('[1]p31'!$C$13:$G$13)</f>
        <v>Rosana Marques da Silva</v>
      </c>
      <c r="C39" s="514" t="s">
        <v>177</v>
      </c>
      <c r="D39" s="514" t="s">
        <v>177</v>
      </c>
      <c r="E39" s="515" t="s">
        <v>177</v>
      </c>
      <c r="F39" s="21" t="str">
        <f>IF('[1]p31'!$J$13&gt;0,'[1]p31'!$J$13,"")</f>
        <v>0335560-6</v>
      </c>
      <c r="G39" s="17" t="str">
        <f>IF('[1]p31'!$A$15&lt;&gt;0,'[1]p31'!$A$15,"")</f>
        <v>Doutor</v>
      </c>
      <c r="H39" s="17" t="str">
        <f>IF('[1]p31'!$B$15&lt;&gt;0,'[1]p31'!$B$15,"")</f>
        <v>Associado</v>
      </c>
      <c r="I39" s="18" t="str">
        <f>IF('[1]p31'!$C$15&lt;&gt;0,'[1]p31'!$C$15,"")</f>
        <v>I</v>
      </c>
      <c r="J39" s="53">
        <f>IF('[1]p31'!$F$15&lt;&gt;0,'[1]p31'!$F$15,"")</f>
        <v>40</v>
      </c>
      <c r="K39" s="50" t="str">
        <f>IF('[1]p31'!$G$15&lt;&gt;0,'[1]p31'!$G$15,"")</f>
        <v>DE</v>
      </c>
      <c r="L39" s="516" t="str">
        <f>T('[1]p31'!$H$15:$J$15)</f>
        <v>Docente do Quadro Efetivo</v>
      </c>
      <c r="M39" s="517"/>
      <c r="N39" s="518"/>
      <c r="O39" s="19">
        <f>IF('[1]p31'!$D$15&lt;&gt;0,'[1]p31'!$D$15,"")</f>
        <v>30372</v>
      </c>
      <c r="P39" s="18" t="str">
        <f>IF('[1]p31'!$E$15&lt;&gt;0,'[1]p31'!$E$15,"")</f>
        <v>Concur.</v>
      </c>
      <c r="Q39" s="19">
        <f>IF('[1]p31'!$K$15&lt;&gt;0,'[1]p31'!$K$15,"")</f>
      </c>
      <c r="R39" s="49">
        <f>IF('[1]p31'!$L$15&lt;&gt;0,'[1]p31'!$L$15,"")</f>
      </c>
      <c r="S39" s="21" t="str">
        <f>IF('[1]p31'!$L$13&lt;&gt;0,'[1]p31'!$L$13,"")</f>
        <v>Ativa</v>
      </c>
    </row>
    <row r="40" spans="1:19" s="20" customFormat="1" ht="12.75">
      <c r="A40" s="21">
        <f>IF('[1]p32'!$C$13&gt;0,33,"")</f>
        <v>33</v>
      </c>
      <c r="B40" s="513" t="str">
        <f>T('[1]p32'!$C$13:$G$13)</f>
        <v>Rosângela Silveira do Nascimento</v>
      </c>
      <c r="C40" s="514" t="s">
        <v>178</v>
      </c>
      <c r="D40" s="514" t="s">
        <v>178</v>
      </c>
      <c r="E40" s="515" t="s">
        <v>178</v>
      </c>
      <c r="F40" s="21" t="str">
        <f>IF('[1]p32'!$J$13&gt;0,'[1]p32'!$J$13,"")</f>
        <v>1240960</v>
      </c>
      <c r="G40" s="17" t="str">
        <f>IF('[1]p32'!$A$15&lt;&gt;0,'[1]p32'!$A$15,"")</f>
        <v>Mestre</v>
      </c>
      <c r="H40" s="17" t="str">
        <f>IF('[1]p32'!$B$15&lt;&gt;0,'[1]p32'!$B$15,"")</f>
        <v>Assistente</v>
      </c>
      <c r="I40" s="18" t="str">
        <f>IF('[1]p32'!$C$15&lt;&gt;0,'[1]p32'!$C$15,"")</f>
        <v>I</v>
      </c>
      <c r="J40" s="53">
        <f>IF('[1]p32'!$F$15&lt;&gt;0,'[1]p32'!$F$15,"")</f>
        <v>40</v>
      </c>
      <c r="K40" s="50" t="str">
        <f>IF('[1]p32'!$G$15&lt;&gt;0,'[1]p32'!$G$15,"")</f>
        <v>DE</v>
      </c>
      <c r="L40" s="516" t="str">
        <f>T('[1]p32'!$H$15:$J$15)</f>
        <v>Docente do Quadro Efetivo</v>
      </c>
      <c r="M40" s="517"/>
      <c r="N40" s="518"/>
      <c r="O40" s="19">
        <f>IF('[1]p32'!$D$15&lt;&gt;0,'[1]p32'!$D$15,"")</f>
        <v>35671</v>
      </c>
      <c r="P40" s="18" t="str">
        <f>IF('[1]p32'!$E$15&lt;&gt;0,'[1]p32'!$E$15,"")</f>
        <v>Concur.</v>
      </c>
      <c r="Q40" s="19">
        <f>IF('[1]p32'!$K$15&lt;&gt;0,'[1]p32'!$K$15,"")</f>
      </c>
      <c r="R40" s="49">
        <f>IF('[1]p32'!$L$15&lt;&gt;0,'[1]p32'!$L$15,"")</f>
      </c>
      <c r="S40" s="21" t="str">
        <f>IF('[1]p32'!$L$13&lt;&gt;0,'[1]p32'!$L$13,"")</f>
        <v>Ativa</v>
      </c>
    </row>
    <row r="41" spans="1:19" s="20" customFormat="1" ht="12.75">
      <c r="A41" s="21">
        <f>IF('[1]p33'!$C$13&gt;0,34,"")</f>
        <v>34</v>
      </c>
      <c r="B41" s="513" t="str">
        <f>T('[1]p33'!$C$13:$G$13)</f>
        <v>Sérgio Mota Alves</v>
      </c>
      <c r="C41" s="514" t="s">
        <v>185</v>
      </c>
      <c r="D41" s="514" t="s">
        <v>185</v>
      </c>
      <c r="E41" s="515" t="s">
        <v>185</v>
      </c>
      <c r="F41" s="21" t="str">
        <f>IF('[1]p33'!$J$13&gt;0,'[1]p33'!$J$13,"")</f>
        <v>3134699-1</v>
      </c>
      <c r="G41" s="17" t="str">
        <f>IF('[1]p33'!$A$15&lt;&gt;0,'[1]p33'!$A$15,"")</f>
        <v>Doutor</v>
      </c>
      <c r="H41" s="17" t="str">
        <f>IF('[1]p33'!$B$15&lt;&gt;0,'[1]p33'!$B$15,"")</f>
        <v>Adjunto</v>
      </c>
      <c r="I41" s="18" t="str">
        <f>IF('[1]p33'!$C$15&lt;&gt;0,'[1]p33'!$C$15,"")</f>
        <v>I</v>
      </c>
      <c r="J41" s="53">
        <f>IF('[1]p33'!$F$15&lt;&gt;0,'[1]p33'!$F$15,"")</f>
        <v>40</v>
      </c>
      <c r="K41" s="50" t="str">
        <f>IF('[1]p33'!$G$15&lt;&gt;0,'[1]p33'!$G$15,"")</f>
        <v>DE</v>
      </c>
      <c r="L41" s="516" t="str">
        <f>T('[1]p33'!$H$15:$J$15)</f>
        <v>Docente do Quadro Efetivo</v>
      </c>
      <c r="M41" s="517"/>
      <c r="N41" s="518"/>
      <c r="O41" s="19">
        <f>IF('[1]p33'!$D$15&lt;&gt;0,'[1]p33'!$D$15,"")</f>
        <v>37371</v>
      </c>
      <c r="P41" s="18" t="str">
        <f>IF('[1]p33'!$E$15&lt;&gt;0,'[1]p33'!$E$15,"")</f>
        <v>Concur.</v>
      </c>
      <c r="Q41" s="19">
        <f>IF('[1]p33'!$K$15&lt;&gt;0,'[1]p33'!$K$15,"")</f>
      </c>
      <c r="R41" s="49">
        <f>IF('[1]p33'!$L$15&lt;&gt;0,'[1]p33'!$L$15,"")</f>
      </c>
      <c r="S41" s="21" t="str">
        <f>IF('[1]p33'!$L$13&lt;&gt;0,'[1]p33'!$L$13,"")</f>
        <v>Ativa</v>
      </c>
    </row>
    <row r="42" spans="1:19" s="20" customFormat="1" ht="12.75">
      <c r="A42" s="21">
        <f>IF('[1]p34'!$C$13&gt;0,35,"")</f>
        <v>35</v>
      </c>
      <c r="B42" s="513" t="str">
        <f>T('[1]p34'!$C$13:$G$13)</f>
        <v>Vandik Estevam Barbosa</v>
      </c>
      <c r="C42" s="514" t="s">
        <v>189</v>
      </c>
      <c r="D42" s="514" t="s">
        <v>189</v>
      </c>
      <c r="E42" s="515" t="s">
        <v>189</v>
      </c>
      <c r="F42" s="21" t="str">
        <f>IF('[1]p34'!$J$13&gt;0,'[1]p34'!$J$13,"")</f>
        <v>0330796-2</v>
      </c>
      <c r="G42" s="17" t="str">
        <f>IF('[1]p34'!$A$15&lt;&gt;0,'[1]p34'!$A$15,"")</f>
        <v>Mestre</v>
      </c>
      <c r="H42" s="17" t="str">
        <f>IF('[1]p34'!$B$15&lt;&gt;0,'[1]p34'!$B$15,"")</f>
        <v>Adjunto</v>
      </c>
      <c r="I42" s="18" t="str">
        <f>IF('[1]p34'!$C$15&lt;&gt;0,'[1]p34'!$C$15,"")</f>
        <v>IV</v>
      </c>
      <c r="J42" s="53">
        <f>IF('[1]p34'!$F$15&lt;&gt;0,'[1]p34'!$F$15,"")</f>
        <v>40</v>
      </c>
      <c r="K42" s="50" t="str">
        <f>IF('[1]p34'!$G$15&lt;&gt;0,'[1]p34'!$G$15,"")</f>
        <v>DE</v>
      </c>
      <c r="L42" s="516" t="str">
        <f>T('[1]p34'!$H$15:$J$15)</f>
        <v>Docente do Quadro Efetivo</v>
      </c>
      <c r="M42" s="517"/>
      <c r="N42" s="518"/>
      <c r="O42" s="19">
        <f>IF('[1]p34'!$D$15&lt;&gt;0,'[1]p34'!$D$15,"")</f>
        <v>28369</v>
      </c>
      <c r="P42" s="18" t="str">
        <f>IF('[1]p34'!$E$15&lt;&gt;0,'[1]p34'!$E$15,"")</f>
        <v>Contrato</v>
      </c>
      <c r="Q42" s="19">
        <f>IF('[1]p34'!$K$15&lt;&gt;0,'[1]p34'!$K$15,"")</f>
      </c>
      <c r="R42" s="49">
        <f>IF('[1]p34'!$L$15&lt;&gt;0,'[1]p34'!$L$15,"")</f>
      </c>
      <c r="S42" s="21" t="str">
        <f>IF('[1]p34'!$L$13&lt;&gt;0,'[1]p34'!$L$13,"")</f>
        <v>Ativa</v>
      </c>
    </row>
    <row r="43" spans="1:19" s="20" customFormat="1" ht="12.75">
      <c r="A43" s="21">
        <f>IF('[1]p35'!$C$13&gt;0,36,"")</f>
        <v>36</v>
      </c>
      <c r="B43" s="513" t="str">
        <f>T('[1]p35'!$C$13:$G$13)</f>
        <v>Vanio Fragoso de Melo</v>
      </c>
      <c r="C43" s="514" t="s">
        <v>189</v>
      </c>
      <c r="D43" s="514" t="s">
        <v>189</v>
      </c>
      <c r="E43" s="515" t="s">
        <v>189</v>
      </c>
      <c r="F43" s="21" t="str">
        <f>IF('[1]p35'!$J$13&gt;0,'[1]p35'!$J$13,"")</f>
        <v>11964764</v>
      </c>
      <c r="G43" s="17" t="str">
        <f>IF('[1]p35'!$A$15&lt;&gt;0,'[1]p35'!$A$15,"")</f>
        <v>Doutor</v>
      </c>
      <c r="H43" s="17" t="str">
        <f>IF('[1]p35'!$B$15&lt;&gt;0,'[1]p35'!$B$15,"")</f>
        <v>Adjunto</v>
      </c>
      <c r="I43" s="18" t="str">
        <f>IF('[1]p35'!$C$15&lt;&gt;0,'[1]p35'!$C$15,"")</f>
        <v>II</v>
      </c>
      <c r="J43" s="53">
        <f>IF('[1]p35'!$F$15&lt;&gt;0,'[1]p35'!$F$15,"")</f>
        <v>40</v>
      </c>
      <c r="K43" s="50" t="str">
        <f>IF('[1]p35'!$G$15&lt;&gt;0,'[1]p35'!$G$15,"")</f>
        <v>DE</v>
      </c>
      <c r="L43" s="516" t="str">
        <f>T('[1]p35'!$H$15:$J$15)</f>
        <v>Docente do Quadro Efetivo</v>
      </c>
      <c r="M43" s="517"/>
      <c r="N43" s="518"/>
      <c r="O43" s="19">
        <f>IF('[1]p35'!$D$15&lt;&gt;0,'[1]p35'!$D$15,"")</f>
        <v>35172</v>
      </c>
      <c r="P43" s="18" t="str">
        <f>IF('[1]p35'!$E$15&lt;&gt;0,'[1]p35'!$E$15,"")</f>
        <v>Concur.</v>
      </c>
      <c r="Q43" s="19">
        <f>IF('[1]p35'!$K$15&lt;&gt;0,'[1]p35'!$K$15,"")</f>
      </c>
      <c r="R43" s="49">
        <f>IF('[1]p35'!$L$15&lt;&gt;0,'[1]p35'!$L$15,"")</f>
      </c>
      <c r="S43" s="21" t="str">
        <f>IF('[1]p35'!$L$13&lt;&gt;0,'[1]p35'!$L$13,"")</f>
        <v>Ativa</v>
      </c>
    </row>
    <row r="44" spans="1:19" s="20" customFormat="1" ht="12.75">
      <c r="A44" s="21">
        <f>IF('[1]p36'!$C$13&gt;0,37,"")</f>
        <v>37</v>
      </c>
      <c r="B44" s="513" t="str">
        <f>T('[1]p36'!$C$13:$G$13)</f>
        <v>Areli Mesquita da Silva</v>
      </c>
      <c r="C44" s="514" t="s">
        <v>189</v>
      </c>
      <c r="D44" s="514" t="s">
        <v>189</v>
      </c>
      <c r="E44" s="515" t="s">
        <v>189</v>
      </c>
      <c r="F44" s="21" t="str">
        <f>IF('[1]p36'!$J$13&gt;0,'[1]p36'!$J$13,"")</f>
        <v>1580167</v>
      </c>
      <c r="G44" s="17" t="str">
        <f>IF('[1]p36'!$A$15&lt;&gt;0,'[1]p36'!$A$15,"")</f>
        <v>Mestre</v>
      </c>
      <c r="H44" s="17" t="str">
        <f>IF('[1]p36'!$B$15&lt;&gt;0,'[1]p36'!$B$15,"")</f>
        <v>Assistente</v>
      </c>
      <c r="I44" s="18" t="str">
        <f>IF('[1]p36'!$C$15&lt;&gt;0,'[1]p36'!$C$15,"")</f>
        <v>I</v>
      </c>
      <c r="J44" s="53">
        <f>IF('[1]p36'!$F$15&lt;&gt;0,'[1]p36'!$F$15,"")</f>
        <v>40</v>
      </c>
      <c r="K44" s="50" t="str">
        <f>IF('[1]p36'!$G$15&lt;&gt;0,'[1]p36'!$G$15,"")</f>
        <v>TP</v>
      </c>
      <c r="L44" s="516" t="str">
        <f>T('[1]p36'!$H$15:$J$15)</f>
        <v>Docente Substituto</v>
      </c>
      <c r="M44" s="517"/>
      <c r="N44" s="518"/>
      <c r="O44" s="19">
        <f>IF('[1]p36'!$D$15&lt;&gt;0,'[1]p36'!$D$15,"")</f>
        <v>39324</v>
      </c>
      <c r="P44" s="18" t="str">
        <f>IF('[1]p36'!$E$15&lt;&gt;0,'[1]p36'!$E$15,"")</f>
        <v>Concur.</v>
      </c>
      <c r="Q44" s="19">
        <f>IF('[1]p36'!$K$15&lt;&gt;0,'[1]p36'!$K$15,"")</f>
      </c>
      <c r="R44" s="49">
        <f>IF('[1]p36'!$L$15&lt;&gt;0,'[1]p36'!$L$15,"")</f>
      </c>
      <c r="S44" s="21" t="str">
        <f>IF('[1]p36'!$L$13&lt;&gt;0,'[1]p36'!$L$13,"")</f>
        <v>Ativa</v>
      </c>
    </row>
    <row r="45" spans="1:19" s="20" customFormat="1" ht="12.75">
      <c r="A45" s="21">
        <f>IF('[1]p37'!$C$13&gt;0,38,"")</f>
        <v>38</v>
      </c>
      <c r="B45" s="513" t="str">
        <f>T('[1]p37'!$C$13:$G$13)</f>
        <v>Cícero Januário Guimarães </v>
      </c>
      <c r="C45" s="514" t="s">
        <v>195</v>
      </c>
      <c r="D45" s="514" t="s">
        <v>195</v>
      </c>
      <c r="E45" s="515" t="s">
        <v>195</v>
      </c>
      <c r="F45" s="21" t="str">
        <f>IF('[1]p37'!$J$13&gt;0,'[1]p37'!$J$13,"")</f>
        <v>1541942</v>
      </c>
      <c r="G45" s="17" t="str">
        <f>IF('[1]p37'!$A$15&lt;&gt;0,'[1]p37'!$A$15,"")</f>
        <v>Mestre</v>
      </c>
      <c r="H45" s="17" t="str">
        <f>IF('[1]p37'!$B$15&lt;&gt;0,'[1]p37'!$B$15,"")</f>
        <v>Assistente</v>
      </c>
      <c r="I45" s="18" t="str">
        <f>IF('[1]p37'!$C$15&lt;&gt;0,'[1]p37'!$C$15,"")</f>
        <v>I</v>
      </c>
      <c r="J45" s="53">
        <f>IF('[1]p37'!$F$15&lt;&gt;0,'[1]p37'!$F$15,"")</f>
        <v>40</v>
      </c>
      <c r="K45" s="50" t="str">
        <f>IF('[1]p37'!$G$15&lt;&gt;0,'[1]p37'!$G$15,"")</f>
        <v>TP</v>
      </c>
      <c r="L45" s="516" t="str">
        <f>T('[1]p37'!$H$15:$J$15)</f>
        <v>Docente Substituto</v>
      </c>
      <c r="M45" s="517"/>
      <c r="N45" s="518"/>
      <c r="O45" s="19">
        <f>IF('[1]p37'!$D$15&lt;&gt;0,'[1]p37'!$D$15,"")</f>
        <v>38902</v>
      </c>
      <c r="P45" s="18" t="str">
        <f>IF('[1]p37'!$E$15&lt;&gt;0,'[1]p37'!$E$15,"")</f>
        <v>Concur.</v>
      </c>
      <c r="Q45" s="19">
        <f>IF('[1]p37'!$K$15&lt;&gt;0,'[1]p37'!$K$15,"")</f>
        <v>39632</v>
      </c>
      <c r="R45" s="49" t="str">
        <f>IF('[1]p37'!$L$15&lt;&gt;0,'[1]p37'!$L$15,"")</f>
        <v>Fim Contr.</v>
      </c>
      <c r="S45" s="21" t="str">
        <f>IF('[1]p37'!$L$13&lt;&gt;0,'[1]p37'!$L$13,"")</f>
        <v>Ativa</v>
      </c>
    </row>
    <row r="46" spans="1:19" s="20" customFormat="1" ht="12.75">
      <c r="A46" s="21">
        <f>IF('[1]p38'!$C$13&gt;0,39,"")</f>
        <v>39</v>
      </c>
      <c r="B46" s="513" t="str">
        <f>T('[1]p38'!$C$13:$G$13)</f>
        <v>Fernanda Clara de França Silva</v>
      </c>
      <c r="C46" s="514" t="s">
        <v>198</v>
      </c>
      <c r="D46" s="514" t="s">
        <v>198</v>
      </c>
      <c r="E46" s="515" t="s">
        <v>198</v>
      </c>
      <c r="F46" s="21" t="str">
        <f>IF('[1]p38'!$J$13&gt;0,'[1]p38'!$J$13,"")</f>
        <v>1614847-7</v>
      </c>
      <c r="G46" s="17" t="str">
        <f>IF('[1]p38'!$A$15&lt;&gt;0,'[1]p38'!$A$15,"")</f>
        <v>Mestre</v>
      </c>
      <c r="H46" s="17" t="str">
        <f>IF('[1]p38'!$B$15&lt;&gt;0,'[1]p38'!$B$15,"")</f>
        <v>Assistente</v>
      </c>
      <c r="I46" s="18" t="str">
        <f>IF('[1]p38'!$C$15&lt;&gt;0,'[1]p38'!$C$15,"")</f>
        <v>I</v>
      </c>
      <c r="J46" s="53">
        <f>IF('[1]p38'!$F$15&lt;&gt;0,'[1]p38'!$F$15,"")</f>
        <v>40</v>
      </c>
      <c r="K46" s="50" t="str">
        <f>IF('[1]p38'!$G$15&lt;&gt;0,'[1]p38'!$G$15,"")</f>
        <v>TP</v>
      </c>
      <c r="L46" s="516" t="str">
        <f>T('[1]p38'!$H$15:$J$15)</f>
        <v>Docente Substituto</v>
      </c>
      <c r="M46" s="517"/>
      <c r="N46" s="518"/>
      <c r="O46" s="19">
        <f>IF('[1]p38'!$D$15&lt;&gt;0,'[1]p38'!$D$15,"")</f>
        <v>39663</v>
      </c>
      <c r="P46" s="18" t="str">
        <f>IF('[1]p38'!$E$15&lt;&gt;0,'[1]p38'!$E$15,"")</f>
        <v>Concur.</v>
      </c>
      <c r="Q46" s="19">
        <f>IF('[1]p38'!$K$15&lt;&gt;0,'[1]p38'!$K$15,"")</f>
      </c>
      <c r="R46" s="49">
        <f>IF('[1]p38'!$L$15&lt;&gt;0,'[1]p38'!$L$15,"")</f>
      </c>
      <c r="S46" s="21" t="str">
        <f>IF('[1]p38'!$L$13&lt;&gt;0,'[1]p38'!$L$13,"")</f>
        <v>Ativa</v>
      </c>
    </row>
    <row r="47" spans="1:19" s="20" customFormat="1" ht="12.75">
      <c r="A47" s="21">
        <f>IF('[1]p39'!$C$13&gt;0,40,"")</f>
        <v>40</v>
      </c>
      <c r="B47" s="513" t="str">
        <f>T('[1]p39'!$C$13:$G$13)</f>
        <v>Grayci Mary Gonçalves Leal</v>
      </c>
      <c r="C47" s="514" t="s">
        <v>203</v>
      </c>
      <c r="D47" s="514" t="s">
        <v>203</v>
      </c>
      <c r="E47" s="515" t="s">
        <v>203</v>
      </c>
      <c r="F47" s="21" t="str">
        <f>IF('[1]p39'!$J$13&gt;0,'[1]p39'!$J$13,"")</f>
        <v>1637828</v>
      </c>
      <c r="G47" s="17" t="str">
        <f>IF('[1]p39'!$A$15&lt;&gt;0,'[1]p39'!$A$15,"")</f>
        <v>Mestre</v>
      </c>
      <c r="H47" s="17" t="str">
        <f>IF('[1]p39'!$B$15&lt;&gt;0,'[1]p39'!$B$15,"")</f>
        <v>Assistente</v>
      </c>
      <c r="I47" s="18" t="str">
        <f>IF('[1]p39'!$C$15&lt;&gt;0,'[1]p39'!$C$15,"")</f>
        <v>I</v>
      </c>
      <c r="J47" s="53">
        <f>IF('[1]p39'!$F$15&lt;&gt;0,'[1]p39'!$F$15,"")</f>
        <v>40</v>
      </c>
      <c r="K47" s="50" t="str">
        <f>IF('[1]p39'!$G$15&lt;&gt;0,'[1]p39'!$G$15,"")</f>
        <v>TP</v>
      </c>
      <c r="L47" s="516" t="str">
        <f>T('[1]p39'!$H$15:$J$15)</f>
        <v>Docente Substituto</v>
      </c>
      <c r="M47" s="517"/>
      <c r="N47" s="518"/>
      <c r="O47" s="19">
        <f>IF('[1]p39'!$D$15&lt;&gt;0,'[1]p39'!$D$15,"")</f>
        <v>39631</v>
      </c>
      <c r="P47" s="18" t="str">
        <f>IF('[1]p39'!$E$15&lt;&gt;0,'[1]p39'!$E$15,"")</f>
        <v>Concur.</v>
      </c>
      <c r="Q47" s="19">
        <f>IF('[1]p39'!$K$15&lt;&gt;0,'[1]p39'!$K$15,"")</f>
      </c>
      <c r="R47" s="49">
        <f>IF('[1]p39'!$L$15&lt;&gt;0,'[1]p39'!$L$15,"")</f>
      </c>
      <c r="S47" s="21" t="str">
        <f>IF('[1]p39'!$L$13&lt;&gt;0,'[1]p39'!$L$13,"")</f>
        <v>Ativa</v>
      </c>
    </row>
    <row r="48" spans="1:19" s="20" customFormat="1" ht="12.75">
      <c r="A48" s="21">
        <f>IF('[1]p40'!$C$13&gt;0,41,"")</f>
        <v>41</v>
      </c>
      <c r="B48" s="513" t="str">
        <f>T('[1]p40'!$C$13:$G$13)</f>
        <v>Hallyson Gustavo Guedes de M. Lima</v>
      </c>
      <c r="C48" s="514" t="s">
        <v>195</v>
      </c>
      <c r="D48" s="514" t="s">
        <v>195</v>
      </c>
      <c r="E48" s="515" t="s">
        <v>195</v>
      </c>
      <c r="F48" s="21" t="str">
        <f>IF('[1]p40'!$J$13&gt;0,'[1]p40'!$J$13,"")</f>
        <v>1575786-1</v>
      </c>
      <c r="G48" s="17" t="str">
        <f>IF('[1]p40'!$A$15&lt;&gt;0,'[1]p40'!$A$15,"")</f>
        <v>Mestre</v>
      </c>
      <c r="H48" s="17" t="str">
        <f>IF('[1]p40'!$B$15&lt;&gt;0,'[1]p40'!$B$15,"")</f>
        <v>Assistente</v>
      </c>
      <c r="I48" s="18" t="str">
        <f>IF('[1]p40'!$C$15&lt;&gt;0,'[1]p40'!$C$15,"")</f>
        <v>I</v>
      </c>
      <c r="J48" s="53">
        <f>IF('[1]p40'!$F$15&lt;&gt;0,'[1]p40'!$F$15,"")</f>
        <v>40</v>
      </c>
      <c r="K48" s="50" t="str">
        <f>IF('[1]p40'!$G$15&lt;&gt;0,'[1]p40'!$G$15,"")</f>
        <v>TP</v>
      </c>
      <c r="L48" s="516" t="str">
        <f>T('[1]p40'!$H$15:$J$15)</f>
        <v>Docente Substituto</v>
      </c>
      <c r="M48" s="517"/>
      <c r="N48" s="518"/>
      <c r="O48" s="19">
        <f>IF('[1]p40'!$D$15&lt;&gt;0,'[1]p40'!$D$15,"")</f>
        <v>39280</v>
      </c>
      <c r="P48" s="18" t="str">
        <f>IF('[1]p40'!$E$15&lt;&gt;0,'[1]p40'!$E$15,"")</f>
        <v>Concur.</v>
      </c>
      <c r="Q48" s="19">
        <f>IF('[1]p40'!$K$15&lt;&gt;0,'[1]p40'!$K$15,"")</f>
        <v>39611</v>
      </c>
      <c r="R48" s="49" t="str">
        <f>IF('[1]p40'!$L$15&lt;&gt;0,'[1]p40'!$L$15,"")</f>
        <v>Demissão</v>
      </c>
      <c r="S48" s="21" t="str">
        <f>IF('[1]p40'!$L$13&lt;&gt;0,'[1]p40'!$L$13,"")</f>
        <v>Ativa</v>
      </c>
    </row>
    <row r="49" spans="1:19" s="20" customFormat="1" ht="12.75">
      <c r="A49" s="21">
        <f>IF('[1]p41'!$C$13&gt;0,42,"")</f>
        <v>42</v>
      </c>
      <c r="B49" s="513" t="str">
        <f>T('[1]p41'!$C$13:$G$13)</f>
        <v>Hugo Bezerra Borba de Araújo</v>
      </c>
      <c r="C49" s="514" t="s">
        <v>198</v>
      </c>
      <c r="D49" s="514" t="s">
        <v>198</v>
      </c>
      <c r="E49" s="515" t="s">
        <v>198</v>
      </c>
      <c r="F49" s="21" t="str">
        <f>IF('[1]p41'!$J$13&gt;0,'[1]p41'!$J$13,"")</f>
        <v>7333022-0</v>
      </c>
      <c r="G49" s="17" t="str">
        <f>IF('[1]p41'!$A$15&lt;&gt;0,'[1]p41'!$A$15,"")</f>
        <v>Mestre</v>
      </c>
      <c r="H49" s="17" t="str">
        <f>IF('[1]p41'!$B$15&lt;&gt;0,'[1]p41'!$B$15,"")</f>
        <v>Assistente</v>
      </c>
      <c r="I49" s="18" t="str">
        <f>IF('[1]p41'!$C$15&lt;&gt;0,'[1]p41'!$C$15,"")</f>
        <v>I</v>
      </c>
      <c r="J49" s="53">
        <f>IF('[1]p41'!$F$15&lt;&gt;0,'[1]p41'!$F$15,"")</f>
        <v>40</v>
      </c>
      <c r="K49" s="50" t="str">
        <f>IF('[1]p41'!$G$15&lt;&gt;0,'[1]p41'!$G$15,"")</f>
        <v>TP</v>
      </c>
      <c r="L49" s="516" t="str">
        <f>T('[1]p41'!$H$15:$J$15)</f>
        <v>Docente Substituto</v>
      </c>
      <c r="M49" s="517"/>
      <c r="N49" s="518"/>
      <c r="O49" s="19">
        <f>IF('[1]p41'!$D$15&lt;&gt;0,'[1]p41'!$D$15,"")</f>
        <v>39631</v>
      </c>
      <c r="P49" s="18" t="str">
        <f>IF('[1]p41'!$E$15&lt;&gt;0,'[1]p41'!$E$15,"")</f>
        <v>Concur.</v>
      </c>
      <c r="Q49" s="19">
        <f>IF('[1]p41'!$K$15&lt;&gt;0,'[1]p41'!$K$15,"")</f>
      </c>
      <c r="R49" s="49">
        <f>IF('[1]p41'!$L$15&lt;&gt;0,'[1]p41'!$L$15,"")</f>
      </c>
      <c r="S49" s="21" t="str">
        <f>IF('[1]p41'!$L$13&lt;&gt;0,'[1]p41'!$L$13,"")</f>
        <v>Ativa</v>
      </c>
    </row>
    <row r="50" spans="1:19" s="20" customFormat="1" ht="12.75">
      <c r="A50" s="21">
        <f>IF('[1]p42'!$C$13&gt;0,43,"")</f>
        <v>43</v>
      </c>
      <c r="B50" s="513" t="str">
        <f>T('[1]p42'!$C$13:$G$13)</f>
        <v> Ivaldo Maciel de Brito</v>
      </c>
      <c r="C50" s="514" t="s">
        <v>203</v>
      </c>
      <c r="D50" s="514" t="s">
        <v>203</v>
      </c>
      <c r="E50" s="515" t="s">
        <v>203</v>
      </c>
      <c r="F50" s="21" t="str">
        <f>IF('[1]p42'!$J$13&gt;0,'[1]p42'!$J$13,"")</f>
        <v>8334047</v>
      </c>
      <c r="G50" s="17" t="str">
        <f>IF('[1]p42'!$A$15&lt;&gt;0,'[1]p42'!$A$15,"")</f>
        <v>Graduado</v>
      </c>
      <c r="H50" s="17" t="str">
        <f>IF('[1]p42'!$B$15&lt;&gt;0,'[1]p42'!$B$15,"")</f>
        <v>Auxiliar</v>
      </c>
      <c r="I50" s="18" t="str">
        <f>IF('[1]p42'!$C$15&lt;&gt;0,'[1]p42'!$C$15,"")</f>
        <v>I</v>
      </c>
      <c r="J50" s="53">
        <f>IF('[1]p42'!$F$15&lt;&gt;0,'[1]p42'!$F$15,"")</f>
        <v>40</v>
      </c>
      <c r="K50" s="50" t="str">
        <f>IF('[1]p42'!$G$15&lt;&gt;0,'[1]p42'!$G$15,"")</f>
        <v>TP</v>
      </c>
      <c r="L50" s="516" t="str">
        <f>T('[1]p42'!$H$15:$J$15)</f>
        <v>Docente Substituto</v>
      </c>
      <c r="M50" s="517"/>
      <c r="N50" s="518"/>
      <c r="O50" s="19">
        <f>IF('[1]p42'!$D$15&lt;&gt;0,'[1]p42'!$D$15,"")</f>
        <v>39636</v>
      </c>
      <c r="P50" s="18" t="str">
        <f>IF('[1]p42'!$E$15&lt;&gt;0,'[1]p42'!$E$15,"")</f>
        <v>Concur.</v>
      </c>
      <c r="Q50" s="19">
        <f>IF('[1]p42'!$K$15&lt;&gt;0,'[1]p42'!$K$15,"")</f>
      </c>
      <c r="R50" s="49">
        <f>IF('[1]p42'!$L$15&lt;&gt;0,'[1]p42'!$L$15,"")</f>
      </c>
      <c r="S50" s="21" t="str">
        <f>IF('[1]p42'!$L$13&lt;&gt;0,'[1]p42'!$L$13,"")</f>
        <v>Ativa</v>
      </c>
    </row>
    <row r="51" spans="1:19" s="20" customFormat="1" ht="12.75">
      <c r="A51" s="21">
        <f>IF('[1]p43'!$C$13&gt;0,44,"")</f>
        <v>44</v>
      </c>
      <c r="B51" s="513" t="str">
        <f>T('[1]p43'!$C$13:$G$13)</f>
        <v>José Iraponil Costa Lima</v>
      </c>
      <c r="C51" s="514" t="e">
        <v>#REF!</v>
      </c>
      <c r="D51" s="514" t="e">
        <v>#REF!</v>
      </c>
      <c r="E51" s="515" t="e">
        <v>#REF!</v>
      </c>
      <c r="F51" s="21" t="str">
        <f>IF('[1]p43'!$J$13&gt;0,'[1]p43'!$J$13,"")</f>
        <v>1503651-9</v>
      </c>
      <c r="G51" s="17" t="str">
        <f>IF('[1]p43'!$A$15&lt;&gt;0,'[1]p43'!$A$15,"")</f>
        <v>Especialista</v>
      </c>
      <c r="H51" s="17" t="str">
        <f>IF('[1]p43'!$B$15&lt;&gt;0,'[1]p43'!$B$15,"")</f>
        <v>Auxiliar</v>
      </c>
      <c r="I51" s="18" t="str">
        <f>IF('[1]p43'!$C$15&lt;&gt;0,'[1]p43'!$C$15,"")</f>
        <v>I</v>
      </c>
      <c r="J51" s="53">
        <f>IF('[1]p43'!$F$15&lt;&gt;0,'[1]p43'!$F$15,"")</f>
        <v>40</v>
      </c>
      <c r="K51" s="50" t="str">
        <f>IF('[1]p43'!$G$15&lt;&gt;0,'[1]p43'!$G$15,"")</f>
        <v>TP</v>
      </c>
      <c r="L51" s="516" t="str">
        <f>T('[1]p43'!$H$15:$J$15)</f>
        <v>Docente Substituto</v>
      </c>
      <c r="M51" s="517"/>
      <c r="N51" s="518"/>
      <c r="O51" s="19">
        <f>IF('[1]p43'!$D$15&lt;&gt;0,'[1]p43'!$D$15,"")</f>
        <v>38565</v>
      </c>
      <c r="P51" s="18" t="str">
        <f>IF('[1]p43'!$E$15&lt;&gt;0,'[1]p43'!$E$15,"")</f>
        <v>Concur.</v>
      </c>
      <c r="Q51" s="19">
        <f>IF('[1]p43'!$K$15&lt;&gt;0,'[1]p43'!$K$15,"")</f>
        <v>39629</v>
      </c>
      <c r="R51" s="49" t="str">
        <f>IF('[1]p43'!$L$15&lt;&gt;0,'[1]p43'!$L$15,"")</f>
        <v>Fim Contr.</v>
      </c>
      <c r="S51" s="21" t="str">
        <f>IF('[1]p43'!$L$13&lt;&gt;0,'[1]p43'!$L$13,"")</f>
        <v>Ativa</v>
      </c>
    </row>
    <row r="52" spans="1:19" s="20" customFormat="1" ht="12.75">
      <c r="A52" s="21">
        <f>IF('[1]p44'!$C$13&gt;0,45,"")</f>
        <v>45</v>
      </c>
      <c r="B52" s="513" t="str">
        <f>T('[1]p44'!$C$13:$G$13)</f>
        <v>José Vieira Alves</v>
      </c>
      <c r="C52" s="514" t="e">
        <v>#REF!</v>
      </c>
      <c r="D52" s="514" t="e">
        <v>#REF!</v>
      </c>
      <c r="E52" s="515" t="e">
        <v>#REF!</v>
      </c>
      <c r="F52" s="21" t="str">
        <f>IF('[1]p44'!$J$13&gt;0,'[1]p44'!$J$13,"")</f>
        <v>8330862</v>
      </c>
      <c r="G52" s="17" t="str">
        <f>IF('[1]p44'!$A$15&lt;&gt;0,'[1]p44'!$A$15,"")</f>
        <v>Mestre</v>
      </c>
      <c r="H52" s="17" t="str">
        <f>IF('[1]p44'!$B$15&lt;&gt;0,'[1]p44'!$B$15,"")</f>
        <v>Assistente</v>
      </c>
      <c r="I52" s="18" t="str">
        <f>IF('[1]p44'!$C$15&lt;&gt;0,'[1]p44'!$C$15,"")</f>
        <v>I</v>
      </c>
      <c r="J52" s="53">
        <f>IF('[1]p44'!$F$15&lt;&gt;0,'[1]p44'!$F$15,"")</f>
        <v>40</v>
      </c>
      <c r="K52" s="50" t="str">
        <f>IF('[1]p44'!$G$15&lt;&gt;0,'[1]p44'!$G$15,"")</f>
        <v>TP</v>
      </c>
      <c r="L52" s="516" t="str">
        <f>T('[1]p44'!$H$15:$J$15)</f>
        <v>Docente Substituto</v>
      </c>
      <c r="M52" s="517"/>
      <c r="N52" s="518"/>
      <c r="O52" s="19">
        <f>IF('[1]p44'!$D$15&lt;&gt;0,'[1]p44'!$D$15,"")</f>
        <v>38902</v>
      </c>
      <c r="P52" s="18" t="str">
        <f>IF('[1]p44'!$E$15&lt;&gt;0,'[1]p44'!$E$15,"")</f>
        <v>Concur.</v>
      </c>
      <c r="Q52" s="19">
        <f>IF('[1]p44'!$K$15&lt;&gt;0,'[1]p44'!$K$15,"")</f>
        <v>39636</v>
      </c>
      <c r="R52" s="49" t="str">
        <f>IF('[1]p44'!$L$15&lt;&gt;0,'[1]p44'!$L$15,"")</f>
        <v>Fim Contr.</v>
      </c>
      <c r="S52" s="21" t="str">
        <f>IF('[1]p44'!$L$13&lt;&gt;0,'[1]p44'!$L$13,"")</f>
        <v>Ativa</v>
      </c>
    </row>
    <row r="53" spans="1:19" s="20" customFormat="1" ht="12.75">
      <c r="A53" s="21">
        <f>IF('[1]p45'!$C$13&gt;0,46,"")</f>
        <v>46</v>
      </c>
      <c r="B53" s="513" t="str">
        <f>T('[1]p45'!$C$13:$G$13)</f>
        <v>Juliana Paula Correia</v>
      </c>
      <c r="C53" s="514" t="e">
        <v>#REF!</v>
      </c>
      <c r="D53" s="514" t="e">
        <v>#REF!</v>
      </c>
      <c r="E53" s="515" t="e">
        <v>#REF!</v>
      </c>
      <c r="F53" s="21">
        <f>IF('[1]p45'!$J$13&gt;0,'[1]p45'!$J$13,"")</f>
      </c>
      <c r="G53" s="17" t="str">
        <f>IF('[1]p45'!$A$15&lt;&gt;0,'[1]p45'!$A$15,"")</f>
        <v>Graduado</v>
      </c>
      <c r="H53" s="17" t="str">
        <f>IF('[1]p45'!$B$15&lt;&gt;0,'[1]p45'!$B$15,"")</f>
        <v>Auxiliar</v>
      </c>
      <c r="I53" s="18" t="str">
        <f>IF('[1]p45'!$C$15&lt;&gt;0,'[1]p45'!$C$15,"")</f>
        <v>I</v>
      </c>
      <c r="J53" s="53">
        <f>IF('[1]p45'!$F$15&lt;&gt;0,'[1]p45'!$F$15,"")</f>
        <v>40</v>
      </c>
      <c r="K53" s="50" t="str">
        <f>IF('[1]p45'!$G$15&lt;&gt;0,'[1]p45'!$G$15,"")</f>
        <v>TP</v>
      </c>
      <c r="L53" s="516" t="str">
        <f>T('[1]p45'!$H$15:$J$15)</f>
        <v>Docente Substituto</v>
      </c>
      <c r="M53" s="517"/>
      <c r="N53" s="518"/>
      <c r="O53" s="19">
        <f>IF('[1]p45'!$D$15&lt;&gt;0,'[1]p45'!$D$15,"")</f>
        <v>39638</v>
      </c>
      <c r="P53" s="18" t="str">
        <f>IF('[1]p45'!$E$15&lt;&gt;0,'[1]p45'!$E$15,"")</f>
        <v>Concur.</v>
      </c>
      <c r="Q53" s="19">
        <f>IF('[1]p45'!$K$15&lt;&gt;0,'[1]p45'!$K$15,"")</f>
      </c>
      <c r="R53" s="49">
        <f>IF('[1]p45'!$L$15&lt;&gt;0,'[1]p45'!$L$15,"")</f>
      </c>
      <c r="S53" s="21" t="str">
        <f>IF('[1]p45'!$L$13&lt;&gt;0,'[1]p45'!$L$13,"")</f>
        <v>Ativa</v>
      </c>
    </row>
    <row r="54" spans="1:17" s="9" customFormat="1" ht="12.75">
      <c r="A54"/>
      <c r="B54"/>
      <c r="C54"/>
      <c r="D54"/>
      <c r="E54"/>
      <c r="F54"/>
      <c r="G54"/>
      <c r="H54" s="10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0"/>
      <c r="I63"/>
      <c r="J63"/>
      <c r="K63"/>
      <c r="L63"/>
      <c r="M63"/>
      <c r="N63"/>
      <c r="O63"/>
      <c r="P63"/>
      <c r="Q63"/>
    </row>
    <row r="64" spans="1:17" s="9" customFormat="1" ht="12.75">
      <c r="A64"/>
      <c r="B64"/>
      <c r="C64"/>
      <c r="D64"/>
      <c r="E64"/>
      <c r="F64"/>
      <c r="G64"/>
      <c r="H64" s="10"/>
      <c r="I64"/>
      <c r="J64"/>
      <c r="K64"/>
      <c r="L64"/>
      <c r="M64"/>
      <c r="N64"/>
      <c r="O64"/>
      <c r="P64"/>
      <c r="Q64"/>
    </row>
    <row r="65" spans="1:17" s="9" customFormat="1" ht="12.75">
      <c r="A65"/>
      <c r="B65"/>
      <c r="C65"/>
      <c r="D65"/>
      <c r="E65"/>
      <c r="F65"/>
      <c r="G65"/>
      <c r="H65" s="10"/>
      <c r="I65"/>
      <c r="J65"/>
      <c r="K65"/>
      <c r="L65"/>
      <c r="M65"/>
      <c r="N65"/>
      <c r="O65"/>
      <c r="P65"/>
      <c r="Q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</sheetData>
  <sheetProtection password="CEFE" sheet="1" objects="1" scenarios="1"/>
  <mergeCells count="100">
    <mergeCell ref="A1:S1"/>
    <mergeCell ref="J7:K7"/>
    <mergeCell ref="A4:S6"/>
    <mergeCell ref="E3:Q3"/>
    <mergeCell ref="B7:E7"/>
    <mergeCell ref="A3:D3"/>
    <mergeCell ref="A2:S2"/>
    <mergeCell ref="L7:N7"/>
    <mergeCell ref="B53:E53"/>
    <mergeCell ref="L53:N53"/>
    <mergeCell ref="L51:N51"/>
    <mergeCell ref="B50:E50"/>
    <mergeCell ref="B51:E51"/>
    <mergeCell ref="B52:E52"/>
    <mergeCell ref="L52:N52"/>
    <mergeCell ref="L49:N49"/>
    <mergeCell ref="B48:E48"/>
    <mergeCell ref="B49:E49"/>
    <mergeCell ref="L50:N50"/>
    <mergeCell ref="L47:N47"/>
    <mergeCell ref="B46:E46"/>
    <mergeCell ref="B47:E47"/>
    <mergeCell ref="L48:N48"/>
    <mergeCell ref="L45:N45"/>
    <mergeCell ref="B44:E44"/>
    <mergeCell ref="B45:E45"/>
    <mergeCell ref="L46:N46"/>
    <mergeCell ref="L43:N43"/>
    <mergeCell ref="B42:E42"/>
    <mergeCell ref="B43:E43"/>
    <mergeCell ref="L44:N44"/>
    <mergeCell ref="L41:N41"/>
    <mergeCell ref="B40:E40"/>
    <mergeCell ref="B41:E41"/>
    <mergeCell ref="L42:N42"/>
    <mergeCell ref="L39:N39"/>
    <mergeCell ref="B38:E38"/>
    <mergeCell ref="B39:E39"/>
    <mergeCell ref="L40:N40"/>
    <mergeCell ref="L37:N37"/>
    <mergeCell ref="B36:E36"/>
    <mergeCell ref="B37:E37"/>
    <mergeCell ref="L38:N38"/>
    <mergeCell ref="L35:N35"/>
    <mergeCell ref="B34:E34"/>
    <mergeCell ref="B35:E35"/>
    <mergeCell ref="L36:N36"/>
    <mergeCell ref="L33:N33"/>
    <mergeCell ref="B32:E32"/>
    <mergeCell ref="B33:E33"/>
    <mergeCell ref="L34:N34"/>
    <mergeCell ref="L31:N31"/>
    <mergeCell ref="B30:E30"/>
    <mergeCell ref="B31:E31"/>
    <mergeCell ref="L32:N32"/>
    <mergeCell ref="L29:N29"/>
    <mergeCell ref="B28:E28"/>
    <mergeCell ref="B29:E29"/>
    <mergeCell ref="L30:N30"/>
    <mergeCell ref="L27:N27"/>
    <mergeCell ref="B25:E25"/>
    <mergeCell ref="B27:E27"/>
    <mergeCell ref="L28:N28"/>
    <mergeCell ref="B26:E26"/>
    <mergeCell ref="L26:N26"/>
    <mergeCell ref="L24:N24"/>
    <mergeCell ref="B23:E23"/>
    <mergeCell ref="B24:E24"/>
    <mergeCell ref="L25:N25"/>
    <mergeCell ref="L22:N22"/>
    <mergeCell ref="B21:E21"/>
    <mergeCell ref="B22:E22"/>
    <mergeCell ref="L23:N23"/>
    <mergeCell ref="L20:N20"/>
    <mergeCell ref="B19:E19"/>
    <mergeCell ref="B20:E20"/>
    <mergeCell ref="L21:N21"/>
    <mergeCell ref="L18:N18"/>
    <mergeCell ref="B17:E17"/>
    <mergeCell ref="B18:E18"/>
    <mergeCell ref="L19:N19"/>
    <mergeCell ref="L16:N16"/>
    <mergeCell ref="B15:E15"/>
    <mergeCell ref="B16:E16"/>
    <mergeCell ref="L17:N17"/>
    <mergeCell ref="L15:N15"/>
    <mergeCell ref="L14:N14"/>
    <mergeCell ref="B14:E14"/>
    <mergeCell ref="L9:N9"/>
    <mergeCell ref="L10:N10"/>
    <mergeCell ref="L11:N11"/>
    <mergeCell ref="L12:N12"/>
    <mergeCell ref="L8:N8"/>
    <mergeCell ref="B8:E8"/>
    <mergeCell ref="B12:E12"/>
    <mergeCell ref="L13:N13"/>
    <mergeCell ref="B13:E13"/>
    <mergeCell ref="B9:E9"/>
    <mergeCell ref="B10:E10"/>
    <mergeCell ref="B11:E11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E3" sqref="E3:P3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261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96" t="s">
        <v>79</v>
      </c>
      <c r="R3" s="397"/>
      <c r="S3" s="29" t="str">
        <f>'[1]p1'!$H$4</f>
        <v>2008.1</v>
      </c>
    </row>
    <row r="4" spans="1:19" s="1" customFormat="1" ht="11.2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45" customFormat="1" ht="13.5" customHeight="1">
      <c r="A5" s="382" t="str">
        <f>T('[1]p8'!$C$13:$G$13)</f>
        <v>Aparecido Jesuino de Souza</v>
      </c>
      <c r="B5" s="381"/>
      <c r="C5" s="381"/>
      <c r="D5" s="381"/>
      <c r="E5" s="381"/>
      <c r="F5" s="381"/>
      <c r="G5" s="381"/>
      <c r="H5" s="384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22" ht="12.75">
      <c r="A6" s="61" t="s">
        <v>158</v>
      </c>
      <c r="B6" s="379" t="str">
        <f>IF('[1]p8'!$A$389&lt;&gt;0,'[1]p8'!$A$389,"")</f>
        <v>North Carolina State University - NCSU</v>
      </c>
      <c r="C6" s="379"/>
      <c r="D6" s="379"/>
      <c r="E6" s="379"/>
      <c r="F6" s="379"/>
      <c r="G6" s="379"/>
      <c r="H6" s="379"/>
      <c r="I6" s="379"/>
      <c r="J6" s="380"/>
      <c r="K6" s="381" t="s">
        <v>234</v>
      </c>
      <c r="L6" s="381"/>
      <c r="M6" s="379" t="str">
        <f>IF('[1]p8'!$H$389&lt;&gt;0,'[1]p8'!$H$389,"")</f>
        <v>CNPq</v>
      </c>
      <c r="N6" s="379"/>
      <c r="O6" s="380"/>
      <c r="P6" s="112" t="s">
        <v>73</v>
      </c>
      <c r="Q6" s="122">
        <f>IF('[1]p8'!$K$389&lt;&gt;0,'[1]p8'!$K$389,"")</f>
        <v>39615</v>
      </c>
      <c r="R6" s="119" t="s">
        <v>74</v>
      </c>
      <c r="S6" s="122">
        <f>IF('[1]p8'!$L$389&lt;&gt;0,'[1]p8'!$L$389,"")</f>
        <v>39617</v>
      </c>
      <c r="T6" s="123"/>
      <c r="U6" s="4"/>
      <c r="V6" s="4"/>
    </row>
    <row r="7" spans="1:22" ht="12.75">
      <c r="A7" s="382" t="s">
        <v>257</v>
      </c>
      <c r="B7" s="381"/>
      <c r="C7" s="379" t="str">
        <f>IF('[1]p8'!$C$390&lt;&gt;0,'[1]p8'!$C$390,"")</f>
        <v>Pesquisa conjunta com Stephen Schecter sobre estabilidade de ondas de combustão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80"/>
      <c r="T7" s="123"/>
      <c r="U7" s="4"/>
      <c r="V7" s="4"/>
    </row>
    <row r="8" spans="1:19" ht="12.75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</row>
    <row r="9" spans="1:22" ht="12.75">
      <c r="A9" s="61" t="s">
        <v>158</v>
      </c>
      <c r="B9" s="379" t="str">
        <f>IF('[1]p8'!$A$393&lt;&gt;0,'[1]p8'!$A$393,"")</f>
        <v>University of Wyoming</v>
      </c>
      <c r="C9" s="379"/>
      <c r="D9" s="379"/>
      <c r="E9" s="379"/>
      <c r="F9" s="379"/>
      <c r="G9" s="379"/>
      <c r="H9" s="379"/>
      <c r="I9" s="379"/>
      <c r="J9" s="380"/>
      <c r="K9" s="381" t="s">
        <v>234</v>
      </c>
      <c r="L9" s="381"/>
      <c r="M9" s="379" t="str">
        <f>IF('[1]p8'!$H$393&lt;&gt;0,'[1]p8'!$H$393,"")</f>
        <v>CNPq</v>
      </c>
      <c r="N9" s="379"/>
      <c r="O9" s="380"/>
      <c r="P9" s="112" t="s">
        <v>73</v>
      </c>
      <c r="Q9" s="122">
        <f>IF('[1]p8'!$K$393&lt;&gt;0,'[1]p8'!$K$393,"")</f>
        <v>39616</v>
      </c>
      <c r="R9" s="119" t="s">
        <v>74</v>
      </c>
      <c r="S9" s="122">
        <f>IF('[1]p8'!$L$393&lt;&gt;0,'[1]p8'!$L$393,"")</f>
        <v>39625</v>
      </c>
      <c r="T9" s="123"/>
      <c r="U9" s="4"/>
      <c r="V9" s="4"/>
    </row>
    <row r="10" spans="1:22" ht="12.75">
      <c r="A10" s="382" t="s">
        <v>257</v>
      </c>
      <c r="B10" s="381"/>
      <c r="C10" s="379" t="str">
        <f>IF('[1]p8'!$C$394&lt;&gt;0,'[1]p8'!$C$394,"")</f>
        <v>Pesquisa conjunta com Frederico Furtado sobre escoamentos em meios porosos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80"/>
      <c r="T10" s="123"/>
      <c r="U10" s="4"/>
      <c r="V10" s="4"/>
    </row>
    <row r="11" spans="1:19" ht="12.75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</row>
    <row r="12" spans="1:22" ht="12.75">
      <c r="A12" s="61" t="s">
        <v>158</v>
      </c>
      <c r="B12" s="379" t="str">
        <f>IF('[1]p8'!$A$397&lt;&gt;0,'[1]p8'!$A$397,"")</f>
        <v>Instituto Nacional de Matermática Pura e Aplicada</v>
      </c>
      <c r="C12" s="379"/>
      <c r="D12" s="379"/>
      <c r="E12" s="379"/>
      <c r="F12" s="379"/>
      <c r="G12" s="379"/>
      <c r="H12" s="379"/>
      <c r="I12" s="379"/>
      <c r="J12" s="380"/>
      <c r="K12" s="381" t="s">
        <v>234</v>
      </c>
      <c r="L12" s="381"/>
      <c r="M12" s="379" t="str">
        <f>IF('[1]p8'!$H$397&lt;&gt;0,'[1]p8'!$H$397,"")</f>
        <v>CNPq</v>
      </c>
      <c r="N12" s="379"/>
      <c r="O12" s="380"/>
      <c r="P12" s="112" t="s">
        <v>73</v>
      </c>
      <c r="Q12" s="122">
        <f>IF('[1]p8'!$K$397&lt;&gt;0,'[1]p8'!$K$397,"")</f>
        <v>39692</v>
      </c>
      <c r="R12" s="119" t="s">
        <v>74</v>
      </c>
      <c r="S12" s="122">
        <f>IF('[1]p8'!$L$397&lt;&gt;0,'[1]p8'!$L$397,"")</f>
        <v>39697</v>
      </c>
      <c r="T12" s="123"/>
      <c r="U12" s="4"/>
      <c r="V12" s="4"/>
    </row>
    <row r="13" spans="1:22" ht="12.75">
      <c r="A13" s="382" t="s">
        <v>257</v>
      </c>
      <c r="B13" s="381"/>
      <c r="C13" s="379" t="str">
        <f>IF('[1]p8'!$C$398&lt;&gt;0,'[1]p8'!$C$398,"")</f>
        <v>Pesquisa conjunta com Dan Marchesin sobre escoamentos em meios porosos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80"/>
      <c r="T13" s="123"/>
      <c r="U13" s="4"/>
      <c r="V13" s="4"/>
    </row>
    <row r="14" spans="1:19" ht="12.7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</row>
    <row r="15" spans="1:19" s="45" customFormat="1" ht="13.5" customHeight="1">
      <c r="A15" s="382" t="str">
        <f>T('[1]p15'!$C$13:$G$13)</f>
        <v>Francisco Júlio Sobreira de A. Corrêa</v>
      </c>
      <c r="B15" s="381"/>
      <c r="C15" s="381"/>
      <c r="D15" s="381"/>
      <c r="E15" s="381"/>
      <c r="F15" s="381"/>
      <c r="G15" s="381"/>
      <c r="H15" s="384"/>
      <c r="I15" s="387"/>
      <c r="J15" s="385"/>
      <c r="K15" s="385"/>
      <c r="L15" s="385"/>
      <c r="M15" s="385"/>
      <c r="N15" s="385"/>
      <c r="O15" s="385"/>
      <c r="P15" s="385"/>
      <c r="Q15" s="385"/>
      <c r="R15" s="385"/>
      <c r="S15" s="385"/>
    </row>
    <row r="16" spans="1:22" ht="12.75">
      <c r="A16" s="61" t="s">
        <v>158</v>
      </c>
      <c r="B16" s="379" t="str">
        <f>IF('[1]p15'!$A$389&lt;&gt;0,'[1]p15'!$A$389,"")</f>
        <v>UFPA</v>
      </c>
      <c r="C16" s="379"/>
      <c r="D16" s="379"/>
      <c r="E16" s="379"/>
      <c r="F16" s="379"/>
      <c r="G16" s="379"/>
      <c r="H16" s="379"/>
      <c r="I16" s="379"/>
      <c r="J16" s="380"/>
      <c r="K16" s="382" t="s">
        <v>234</v>
      </c>
      <c r="L16" s="381"/>
      <c r="M16" s="379" t="str">
        <f>IF('[1]p15'!$H$389&lt;&gt;0,'[1]p15'!$H$389,"")</f>
        <v>Instituto do Milênio</v>
      </c>
      <c r="N16" s="379"/>
      <c r="O16" s="380"/>
      <c r="P16" s="112" t="s">
        <v>73</v>
      </c>
      <c r="Q16" s="122">
        <f>IF('[1]p15'!$K$389&lt;&gt;0,'[1]p15'!$K$389,"")</f>
        <v>39589</v>
      </c>
      <c r="R16" s="119" t="s">
        <v>74</v>
      </c>
      <c r="S16" s="122">
        <f>IF('[1]p15'!$L$389&lt;&gt;0,'[1]p15'!$L$389,"")</f>
        <v>39598</v>
      </c>
      <c r="T16" s="123"/>
      <c r="U16" s="4"/>
      <c r="V16" s="4"/>
    </row>
    <row r="17" spans="1:22" ht="12.75">
      <c r="A17" s="382" t="s">
        <v>257</v>
      </c>
      <c r="B17" s="381"/>
      <c r="C17" s="379" t="str">
        <f>IF('[1]p15'!$C$390&lt;&gt;0,'[1]p15'!$C$390,"")</f>
        <v>Pesquisa com o Prof. Giovany Figueiredo e Rúbia Nascimento, ambos da Universidade Federal do Pará.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80"/>
      <c r="T17" s="123"/>
      <c r="U17" s="4"/>
      <c r="V17" s="4"/>
    </row>
    <row r="18" spans="1:19" ht="12.75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</row>
    <row r="19" spans="1:19" s="45" customFormat="1" ht="13.5" customHeight="1">
      <c r="A19" s="382" t="str">
        <f>T('[1]p20'!$C$13:$G$13)</f>
        <v>José de Arimatéia Fernandes</v>
      </c>
      <c r="B19" s="381"/>
      <c r="C19" s="381"/>
      <c r="D19" s="381"/>
      <c r="E19" s="381"/>
      <c r="F19" s="381"/>
      <c r="G19" s="381"/>
      <c r="H19" s="384"/>
      <c r="I19" s="387"/>
      <c r="J19" s="385"/>
      <c r="K19" s="385"/>
      <c r="L19" s="385"/>
      <c r="M19" s="385"/>
      <c r="N19" s="385"/>
      <c r="O19" s="385"/>
      <c r="P19" s="385"/>
      <c r="Q19" s="385"/>
      <c r="R19" s="385"/>
      <c r="S19" s="385"/>
    </row>
    <row r="20" spans="1:22" ht="12.75">
      <c r="A20" s="61" t="s">
        <v>158</v>
      </c>
      <c r="B20" s="379" t="str">
        <f>IF('[1]p20'!$A$389&lt;&gt;0,'[1]p20'!$A$389,"")</f>
        <v>IMPA</v>
      </c>
      <c r="C20" s="379"/>
      <c r="D20" s="379"/>
      <c r="E20" s="379"/>
      <c r="F20" s="379"/>
      <c r="G20" s="379"/>
      <c r="H20" s="379"/>
      <c r="I20" s="379"/>
      <c r="J20" s="380"/>
      <c r="K20" s="382" t="s">
        <v>234</v>
      </c>
      <c r="L20" s="381"/>
      <c r="M20" s="379" t="str">
        <f>IF('[1]p20'!$H$389&lt;&gt;0,'[1]p20'!$H$389,"")</f>
        <v>OBMEP</v>
      </c>
      <c r="N20" s="379"/>
      <c r="O20" s="380"/>
      <c r="P20" s="112" t="s">
        <v>73</v>
      </c>
      <c r="Q20" s="122">
        <f>IF('[1]p20'!$K$389&lt;&gt;0,'[1]p20'!$K$389,"")</f>
        <v>39594</v>
      </c>
      <c r="R20" s="119" t="s">
        <v>74</v>
      </c>
      <c r="S20" s="122">
        <f>IF('[1]p20'!$L$389&lt;&gt;0,'[1]p20'!$L$389,"")</f>
        <v>39595</v>
      </c>
      <c r="T20" s="123"/>
      <c r="U20" s="4"/>
      <c r="V20" s="4"/>
    </row>
    <row r="21" spans="1:22" ht="12.75">
      <c r="A21" s="382" t="s">
        <v>257</v>
      </c>
      <c r="B21" s="381"/>
      <c r="C21" s="379" t="str">
        <f>IF('[1]p20'!$C$390&lt;&gt;0,'[1]p20'!$C$390,"")</f>
        <v>Reunião dos Coordenadores Regionais da OBMEP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80"/>
      <c r="T21" s="123"/>
      <c r="U21" s="4"/>
      <c r="V21" s="4"/>
    </row>
    <row r="22" spans="1:19" ht="12.75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</row>
    <row r="23" spans="1:22" ht="12.75">
      <c r="A23" s="61" t="s">
        <v>158</v>
      </c>
      <c r="B23" s="379" t="str">
        <f>IF('[1]p20'!$A$393&lt;&gt;0,'[1]p20'!$A$393,"")</f>
        <v>IMPA</v>
      </c>
      <c r="C23" s="379"/>
      <c r="D23" s="379"/>
      <c r="E23" s="379"/>
      <c r="F23" s="379"/>
      <c r="G23" s="379"/>
      <c r="H23" s="379"/>
      <c r="I23" s="379"/>
      <c r="J23" s="380"/>
      <c r="K23" s="382" t="s">
        <v>234</v>
      </c>
      <c r="L23" s="381"/>
      <c r="M23" s="379" t="str">
        <f>IF('[1]p20'!$H$393&lt;&gt;0,'[1]p20'!$H$393,"")</f>
        <v>OBMEP</v>
      </c>
      <c r="N23" s="379"/>
      <c r="O23" s="380"/>
      <c r="P23" s="112" t="s">
        <v>73</v>
      </c>
      <c r="Q23" s="122">
        <f>IF('[1]p20'!$K$393&lt;&gt;0,'[1]p20'!$K$393,"")</f>
        <v>39667</v>
      </c>
      <c r="R23" s="119" t="s">
        <v>74</v>
      </c>
      <c r="S23" s="122">
        <f>IF('[1]p20'!$L$393&lt;&gt;0,'[1]p20'!$L$393,"")</f>
        <v>39668</v>
      </c>
      <c r="T23" s="123"/>
      <c r="U23" s="4"/>
      <c r="V23" s="4"/>
    </row>
    <row r="24" spans="1:22" ht="12.75">
      <c r="A24" s="382" t="s">
        <v>257</v>
      </c>
      <c r="B24" s="381"/>
      <c r="C24" s="379" t="str">
        <f>IF('[1]p20'!$C$394&lt;&gt;0,'[1]p20'!$C$394,"")</f>
        <v>Reunião dos Coordenadores Regionais da OBMEP</v>
      </c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80"/>
      <c r="T24" s="123"/>
      <c r="U24" s="4"/>
      <c r="V24" s="4"/>
    </row>
    <row r="25" spans="1:19" ht="12.75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</row>
    <row r="26" spans="1:19" s="45" customFormat="1" ht="13.5" customHeight="1">
      <c r="A26" s="382" t="str">
        <f>T('[1]p26'!$C$13:$G$13)</f>
        <v>Marco Aurélio Soares Souto</v>
      </c>
      <c r="B26" s="381"/>
      <c r="C26" s="381"/>
      <c r="D26" s="381"/>
      <c r="E26" s="381"/>
      <c r="F26" s="381"/>
      <c r="G26" s="381"/>
      <c r="H26" s="384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</row>
    <row r="27" spans="1:22" ht="12.75">
      <c r="A27" s="61" t="s">
        <v>158</v>
      </c>
      <c r="B27" s="379" t="str">
        <f>IF('[1]p26'!$A$389&lt;&gt;0,'[1]p26'!$A$389,"")</f>
        <v>USP - São Carlos</v>
      </c>
      <c r="C27" s="379"/>
      <c r="D27" s="379"/>
      <c r="E27" s="379"/>
      <c r="F27" s="379"/>
      <c r="G27" s="379"/>
      <c r="H27" s="379"/>
      <c r="I27" s="379"/>
      <c r="J27" s="380"/>
      <c r="K27" s="381" t="s">
        <v>234</v>
      </c>
      <c r="L27" s="381"/>
      <c r="M27" s="379" t="str">
        <f>IF('[1]p26'!$H$389&lt;&gt;0,'[1]p26'!$H$389,"")</f>
        <v>Casadinho/CNPq</v>
      </c>
      <c r="N27" s="379"/>
      <c r="O27" s="380"/>
      <c r="P27" s="112" t="s">
        <v>73</v>
      </c>
      <c r="Q27" s="122">
        <f>IF('[1]p26'!$K$389&lt;&gt;0,'[1]p26'!$K$389,"")</f>
        <v>39692</v>
      </c>
      <c r="R27" s="119" t="s">
        <v>74</v>
      </c>
      <c r="S27" s="122">
        <f>IF('[1]p26'!$L$389&lt;&gt;0,'[1]p26'!$L$389,"")</f>
        <v>39696</v>
      </c>
      <c r="T27" s="123"/>
      <c r="U27" s="4"/>
      <c r="V27" s="4"/>
    </row>
    <row r="28" spans="1:22" ht="12.75">
      <c r="A28" s="382" t="s">
        <v>257</v>
      </c>
      <c r="B28" s="381"/>
      <c r="C28" s="379" t="str">
        <f>IF('[1]p26'!$C$390&lt;&gt;0,'[1]p26'!$C$390,"")</f>
        <v>Intercambio científico com o Prof. Sérgio Monari (USP-São Carlos)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80"/>
      <c r="T28" s="123"/>
      <c r="U28" s="4"/>
      <c r="V28" s="4"/>
    </row>
    <row r="29" spans="1:19" ht="12.75">
      <c r="A29" s="383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</row>
    <row r="30" spans="1:19" s="45" customFormat="1" ht="13.5" customHeight="1">
      <c r="A30" s="382" t="str">
        <f>T('[1]p32'!$C$13:$G$13)</f>
        <v>Rosângela Silveira do Nascimento</v>
      </c>
      <c r="B30" s="381"/>
      <c r="C30" s="381"/>
      <c r="D30" s="381"/>
      <c r="E30" s="381"/>
      <c r="F30" s="381"/>
      <c r="G30" s="381"/>
      <c r="H30" s="384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22" ht="12.75">
      <c r="A31" s="61" t="s">
        <v>158</v>
      </c>
      <c r="B31" s="379" t="str">
        <f>IF('[1]p32'!$A$389&lt;&gt;0,'[1]p32'!$A$389,"")</f>
        <v>UFRPE-DEINFO</v>
      </c>
      <c r="C31" s="379"/>
      <c r="D31" s="379"/>
      <c r="E31" s="379"/>
      <c r="F31" s="379"/>
      <c r="G31" s="379"/>
      <c r="H31" s="379"/>
      <c r="I31" s="379"/>
      <c r="J31" s="380"/>
      <c r="K31" s="381" t="s">
        <v>234</v>
      </c>
      <c r="L31" s="381"/>
      <c r="M31" s="379">
        <f>IF('[1]p32'!$H$389&lt;&gt;0,'[1]p32'!$H$389,"")</f>
      </c>
      <c r="N31" s="379"/>
      <c r="O31" s="380"/>
      <c r="P31" s="112" t="s">
        <v>73</v>
      </c>
      <c r="Q31" s="122">
        <f>IF('[1]p32'!$K$389&lt;&gt;0,'[1]p32'!$K$389,"")</f>
        <v>38232</v>
      </c>
      <c r="R31" s="119" t="s">
        <v>74</v>
      </c>
      <c r="S31" s="122">
        <f>IF('[1]p32'!$L$389&lt;&gt;0,'[1]p32'!$L$389,"")</f>
        <v>38234</v>
      </c>
      <c r="T31" s="123"/>
      <c r="U31" s="4"/>
      <c r="V31" s="4"/>
    </row>
    <row r="32" spans="1:22" ht="12.75">
      <c r="A32" s="382" t="s">
        <v>257</v>
      </c>
      <c r="B32" s="381"/>
      <c r="C32" s="379" t="str">
        <f>IF('[1]p32'!$C$390&lt;&gt;0,'[1]p32'!$C$390,"")</f>
        <v>realizar estudos cientificos 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80"/>
      <c r="T32" s="123"/>
      <c r="U32" s="4"/>
      <c r="V32" s="4"/>
    </row>
    <row r="33" spans="1:19" ht="12.75">
      <c r="A33" s="383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</row>
    <row r="34" spans="1:19" s="45" customFormat="1" ht="13.5" customHeight="1">
      <c r="A34" s="382" t="str">
        <f>T('[1]p34'!$C$13:$G$13)</f>
        <v>Vandik Estevam Barbosa</v>
      </c>
      <c r="B34" s="381"/>
      <c r="C34" s="381"/>
      <c r="D34" s="381"/>
      <c r="E34" s="381"/>
      <c r="F34" s="381"/>
      <c r="G34" s="381"/>
      <c r="H34" s="384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</row>
    <row r="35" spans="1:22" ht="12.75">
      <c r="A35" s="61" t="s">
        <v>158</v>
      </c>
      <c r="B35" s="379" t="str">
        <f>IF('[1]p34'!$A$389&lt;&gt;0,'[1]p34'!$A$389,"")</f>
        <v>Faculdade de Formação de Professores de Afogados da Ingazeira</v>
      </c>
      <c r="C35" s="379"/>
      <c r="D35" s="379"/>
      <c r="E35" s="379"/>
      <c r="F35" s="379"/>
      <c r="G35" s="379"/>
      <c r="H35" s="379"/>
      <c r="I35" s="379"/>
      <c r="J35" s="380"/>
      <c r="K35" s="381" t="s">
        <v>234</v>
      </c>
      <c r="L35" s="381"/>
      <c r="M35" s="379">
        <f>IF('[1]p34'!$H$389&lt;&gt;0,'[1]p34'!$H$389,"")</f>
      </c>
      <c r="N35" s="379"/>
      <c r="O35" s="380"/>
      <c r="P35" s="112" t="s">
        <v>73</v>
      </c>
      <c r="Q35" s="122">
        <f>IF('[1]p34'!$K$389&lt;&gt;0,'[1]p34'!$K$389,"")</f>
        <v>39668</v>
      </c>
      <c r="R35" s="119" t="s">
        <v>74</v>
      </c>
      <c r="S35" s="122">
        <f>IF('[1]p34'!$L$389&lt;&gt;0,'[1]p34'!$L$389,"")</f>
        <v>39669</v>
      </c>
      <c r="T35" s="123"/>
      <c r="U35" s="4"/>
      <c r="V35" s="4"/>
    </row>
    <row r="36" spans="1:22" ht="12.75">
      <c r="A36" s="382" t="s">
        <v>257</v>
      </c>
      <c r="B36" s="381"/>
      <c r="C36" s="379" t="str">
        <f>IF('[1]p34'!$C$390&lt;&gt;0,'[1]p34'!$C$390,"")</f>
        <v>Palestra: A aplicação do Cálculo na Prática e Conferência: O Paradoxo de Zenon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80"/>
      <c r="T36" s="123"/>
      <c r="U36" s="4"/>
      <c r="V36" s="4"/>
    </row>
  </sheetData>
  <sheetProtection password="CEFE" sheet="1" objects="1" scenarios="1"/>
  <mergeCells count="71">
    <mergeCell ref="A4:S4"/>
    <mergeCell ref="A1:S1"/>
    <mergeCell ref="A2:S2"/>
    <mergeCell ref="A3:D3"/>
    <mergeCell ref="Q3:R3"/>
    <mergeCell ref="E3:P3"/>
    <mergeCell ref="A18:S18"/>
    <mergeCell ref="A5:H5"/>
    <mergeCell ref="I5:S5"/>
    <mergeCell ref="B6:J6"/>
    <mergeCell ref="K6:L6"/>
    <mergeCell ref="M6:O6"/>
    <mergeCell ref="A7:B7"/>
    <mergeCell ref="C7:S7"/>
    <mergeCell ref="A8:S8"/>
    <mergeCell ref="B9:J9"/>
    <mergeCell ref="K9:L9"/>
    <mergeCell ref="M9:O9"/>
    <mergeCell ref="A10:B10"/>
    <mergeCell ref="C10:S10"/>
    <mergeCell ref="A11:S11"/>
    <mergeCell ref="B12:J12"/>
    <mergeCell ref="K12:L12"/>
    <mergeCell ref="M12:O12"/>
    <mergeCell ref="A13:B13"/>
    <mergeCell ref="C13:S13"/>
    <mergeCell ref="A14:S14"/>
    <mergeCell ref="A15:H15"/>
    <mergeCell ref="I15:S15"/>
    <mergeCell ref="B16:J16"/>
    <mergeCell ref="K16:L16"/>
    <mergeCell ref="M16:O16"/>
    <mergeCell ref="A17:B17"/>
    <mergeCell ref="C17:S17"/>
    <mergeCell ref="A19:H19"/>
    <mergeCell ref="I19:S19"/>
    <mergeCell ref="B20:J20"/>
    <mergeCell ref="K20:L20"/>
    <mergeCell ref="M20:O20"/>
    <mergeCell ref="A21:B21"/>
    <mergeCell ref="C21:S21"/>
    <mergeCell ref="A22:S22"/>
    <mergeCell ref="B23:J23"/>
    <mergeCell ref="K23:L23"/>
    <mergeCell ref="M23:O23"/>
    <mergeCell ref="A24:B24"/>
    <mergeCell ref="C24:S24"/>
    <mergeCell ref="A25:S25"/>
    <mergeCell ref="A26:H26"/>
    <mergeCell ref="I26:S26"/>
    <mergeCell ref="B27:J27"/>
    <mergeCell ref="K27:L27"/>
    <mergeCell ref="M27:O27"/>
    <mergeCell ref="A28:B28"/>
    <mergeCell ref="C28:S28"/>
    <mergeCell ref="A29:S29"/>
    <mergeCell ref="A30:H30"/>
    <mergeCell ref="I30:S30"/>
    <mergeCell ref="B31:J31"/>
    <mergeCell ref="K31:L31"/>
    <mergeCell ref="M31:O31"/>
    <mergeCell ref="A32:B32"/>
    <mergeCell ref="C32:S32"/>
    <mergeCell ref="A33:S33"/>
    <mergeCell ref="A34:H34"/>
    <mergeCell ref="I34:S34"/>
    <mergeCell ref="B35:J35"/>
    <mergeCell ref="K35:L35"/>
    <mergeCell ref="M35:O35"/>
    <mergeCell ref="A36:B36"/>
    <mergeCell ref="C36:S3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258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96" t="s">
        <v>79</v>
      </c>
      <c r="R3" s="397"/>
      <c r="S3" s="2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s="45" customFormat="1" ht="13.5" customHeight="1">
      <c r="A6" s="112" t="s">
        <v>259</v>
      </c>
      <c r="B6" s="379" t="str">
        <f>T('[1]p8'!$C$13:$G$13)</f>
        <v>Aparecido Jesuino de Souza</v>
      </c>
      <c r="C6" s="379"/>
      <c r="D6" s="379"/>
      <c r="E6" s="379"/>
      <c r="F6" s="379"/>
      <c r="G6" s="379"/>
      <c r="H6" s="380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:22" ht="12.75">
      <c r="A7" s="61" t="s">
        <v>260</v>
      </c>
      <c r="B7" s="379" t="str">
        <f>IF('[1]p8'!$A$372&lt;&gt;0,'[1]p8'!$A$372,"")</f>
        <v>Frederico da Cunha Furtado</v>
      </c>
      <c r="C7" s="379"/>
      <c r="D7" s="379"/>
      <c r="E7" s="379"/>
      <c r="F7" s="379"/>
      <c r="G7" s="379"/>
      <c r="H7" s="379"/>
      <c r="I7" s="379"/>
      <c r="J7" s="379"/>
      <c r="K7" s="382" t="s">
        <v>158</v>
      </c>
      <c r="L7" s="381"/>
      <c r="M7" s="379" t="str">
        <f>IF('[1]p8'!$F$372&lt;&gt;0,'[1]p8'!$F$372,"")</f>
        <v>Universidade de Wyoming</v>
      </c>
      <c r="N7" s="379"/>
      <c r="O7" s="380"/>
      <c r="P7" s="112" t="s">
        <v>73</v>
      </c>
      <c r="Q7" s="122">
        <f>IF('[1]p8'!$K$372&lt;&gt;0,'[1]p8'!$K$372,"")</f>
        <v>39587</v>
      </c>
      <c r="R7" s="119" t="s">
        <v>74</v>
      </c>
      <c r="S7" s="122">
        <f>IF('[1]p8'!$L$372&lt;&gt;0,'[1]p8'!$L$372,"")</f>
        <v>39591</v>
      </c>
      <c r="T7" s="123"/>
      <c r="U7" s="4"/>
      <c r="V7" s="4"/>
    </row>
    <row r="8" spans="1:22" ht="12.75">
      <c r="A8" s="382" t="s">
        <v>257</v>
      </c>
      <c r="B8" s="381"/>
      <c r="C8" s="379" t="str">
        <f>IF('[1]p8'!$C$373&lt;&gt;0,'[1]p8'!$C$373,"")</f>
        <v>Pesquisa conjunta sobre escoamentos em meios porosos</v>
      </c>
      <c r="D8" s="379"/>
      <c r="E8" s="379"/>
      <c r="F8" s="379"/>
      <c r="G8" s="379"/>
      <c r="H8" s="379"/>
      <c r="I8" s="379"/>
      <c r="J8" s="379"/>
      <c r="K8" s="379"/>
      <c r="L8" s="380"/>
      <c r="M8" s="382" t="s">
        <v>234</v>
      </c>
      <c r="N8" s="381"/>
      <c r="O8" s="379" t="str">
        <f>IF('[1]p8'!$H$372&lt;&gt;0,'[1]p8'!$H$372,"")</f>
        <v>CNPq</v>
      </c>
      <c r="P8" s="379"/>
      <c r="Q8" s="379"/>
      <c r="R8" s="379"/>
      <c r="S8" s="380"/>
      <c r="T8" s="123"/>
      <c r="U8" s="4"/>
      <c r="V8" s="4"/>
    </row>
    <row r="9" spans="1:19" s="45" customFormat="1" ht="13.5" customHeight="1">
      <c r="A9" s="112" t="s">
        <v>259</v>
      </c>
      <c r="B9" s="379" t="str">
        <f>T('[1]p28'!$C$13:$G$13)</f>
        <v>Michelli Karinne Barros da Silva</v>
      </c>
      <c r="C9" s="379"/>
      <c r="D9" s="379"/>
      <c r="E9" s="379"/>
      <c r="F9" s="379"/>
      <c r="G9" s="379"/>
      <c r="H9" s="380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</row>
    <row r="10" spans="1:22" ht="12.75">
      <c r="A10" s="61" t="s">
        <v>260</v>
      </c>
      <c r="B10" s="379" t="str">
        <f>IF('[1]p28'!$A$372&lt;&gt;0,'[1]p28'!$A$372,"")</f>
        <v>Víctor Leiva</v>
      </c>
      <c r="C10" s="379"/>
      <c r="D10" s="379"/>
      <c r="E10" s="379"/>
      <c r="F10" s="379"/>
      <c r="G10" s="379"/>
      <c r="H10" s="379"/>
      <c r="I10" s="379"/>
      <c r="J10" s="379"/>
      <c r="K10" s="382" t="s">
        <v>158</v>
      </c>
      <c r="L10" s="381"/>
      <c r="M10" s="379" t="str">
        <f>IF('[1]p28'!$F$372&lt;&gt;0,'[1]p28'!$F$372,"")</f>
        <v>Universidade de Valparaíso_Chile</v>
      </c>
      <c r="N10" s="379"/>
      <c r="O10" s="380"/>
      <c r="P10" s="112" t="s">
        <v>73</v>
      </c>
      <c r="Q10" s="122">
        <f>IF('[1]p28'!$K$372&lt;&gt;0,'[1]p28'!$K$372,"")</f>
        <v>39573</v>
      </c>
      <c r="R10" s="119" t="s">
        <v>74</v>
      </c>
      <c r="S10" s="122">
        <f>IF('[1]p28'!$L$372&lt;&gt;0,'[1]p28'!$L$372,"")</f>
        <v>39575</v>
      </c>
      <c r="T10" s="123"/>
      <c r="U10" s="4"/>
      <c r="V10" s="4"/>
    </row>
    <row r="11" spans="1:22" ht="12.75">
      <c r="A11" s="382" t="s">
        <v>257</v>
      </c>
      <c r="B11" s="381"/>
      <c r="C11" s="379" t="str">
        <f>IF('[1]p28'!$C$373&lt;&gt;0,'[1]p28'!$C$373,"")</f>
        <v>Conclusão de um pacote no R nomeado gbs  que já está disponível no CRAN para distribuições Birnbaum-Saunders generalizada;</v>
      </c>
      <c r="D11" s="379"/>
      <c r="E11" s="379"/>
      <c r="F11" s="379"/>
      <c r="G11" s="379"/>
      <c r="H11" s="379"/>
      <c r="I11" s="379"/>
      <c r="J11" s="379"/>
      <c r="K11" s="379"/>
      <c r="L11" s="380"/>
      <c r="M11" s="382" t="s">
        <v>234</v>
      </c>
      <c r="N11" s="381"/>
      <c r="O11" s="379">
        <f>IF('[1]p28'!$H$372&lt;&gt;0,'[1]p28'!$H$372,"")</f>
      </c>
      <c r="P11" s="379"/>
      <c r="Q11" s="379"/>
      <c r="R11" s="379"/>
      <c r="S11" s="380"/>
      <c r="T11" s="123"/>
      <c r="U11" s="4"/>
      <c r="V11" s="4"/>
    </row>
    <row r="12" spans="1:22" ht="12.75">
      <c r="A12" s="61" t="s">
        <v>260</v>
      </c>
      <c r="B12" s="379" t="str">
        <f>IF('[1]p28'!$A$376&lt;&gt;0,'[1]p28'!$A$376,"")</f>
        <v>Juvêncio Santos Nobre</v>
      </c>
      <c r="C12" s="379"/>
      <c r="D12" s="379"/>
      <c r="E12" s="379"/>
      <c r="F12" s="379"/>
      <c r="G12" s="379"/>
      <c r="H12" s="379"/>
      <c r="I12" s="379"/>
      <c r="J12" s="379"/>
      <c r="K12" s="382" t="s">
        <v>158</v>
      </c>
      <c r="L12" s="381"/>
      <c r="M12" s="379" t="str">
        <f>IF('[1]p28'!$F$376&lt;&gt;0,'[1]p28'!$F$376,"")</f>
        <v>DEMA-UFC</v>
      </c>
      <c r="N12" s="379"/>
      <c r="O12" s="380"/>
      <c r="P12" s="112" t="s">
        <v>73</v>
      </c>
      <c r="Q12" s="122">
        <f>IF('[1]p28'!$K$376&lt;&gt;0,'[1]p28'!$K$376,"")</f>
        <v>39671</v>
      </c>
      <c r="R12" s="119" t="s">
        <v>74</v>
      </c>
      <c r="S12" s="122">
        <f>IF('[1]p28'!$L$376&lt;&gt;0,'[1]p28'!$L$376,"")</f>
        <v>39675</v>
      </c>
      <c r="T12" s="123"/>
      <c r="U12" s="4"/>
      <c r="V12" s="4"/>
    </row>
    <row r="13" spans="1:22" ht="12.75">
      <c r="A13" s="382" t="s">
        <v>257</v>
      </c>
      <c r="B13" s="381"/>
      <c r="C13" s="379" t="str">
        <f>IF('[1]p28'!$C$377&lt;&gt;0,'[1]p28'!$C$377,"")</f>
        <v>Proferiu palestra e interagiu com o grupo de pesquisa da estatística da UAME/UFCG</v>
      </c>
      <c r="D13" s="379"/>
      <c r="E13" s="379"/>
      <c r="F13" s="379"/>
      <c r="G13" s="379"/>
      <c r="H13" s="379"/>
      <c r="I13" s="379"/>
      <c r="J13" s="379"/>
      <c r="K13" s="379"/>
      <c r="L13" s="380"/>
      <c r="M13" s="382" t="s">
        <v>234</v>
      </c>
      <c r="N13" s="381"/>
      <c r="O13" s="379" t="str">
        <f>IF('[1]p28'!$H$376&lt;&gt;0,'[1]p28'!$H$376,"")</f>
        <v>UFCG</v>
      </c>
      <c r="P13" s="379"/>
      <c r="Q13" s="379"/>
      <c r="R13" s="379"/>
      <c r="S13" s="380"/>
      <c r="T13" s="123"/>
      <c r="U13" s="4"/>
      <c r="V13" s="4"/>
    </row>
  </sheetData>
  <sheetProtection password="CEFE" sheet="1" objects="1" scenarios="1"/>
  <mergeCells count="31">
    <mergeCell ref="A1:S1"/>
    <mergeCell ref="A2:S2"/>
    <mergeCell ref="A3:D3"/>
    <mergeCell ref="Q3:R3"/>
    <mergeCell ref="E3:P3"/>
    <mergeCell ref="A4:S5"/>
    <mergeCell ref="B6:H6"/>
    <mergeCell ref="I6:S6"/>
    <mergeCell ref="B7:J7"/>
    <mergeCell ref="K7:L7"/>
    <mergeCell ref="M7:O7"/>
    <mergeCell ref="A8:B8"/>
    <mergeCell ref="C8:L8"/>
    <mergeCell ref="M8:N8"/>
    <mergeCell ref="O8:S8"/>
    <mergeCell ref="B9:H9"/>
    <mergeCell ref="I9:S9"/>
    <mergeCell ref="B10:J10"/>
    <mergeCell ref="K10:L10"/>
    <mergeCell ref="M10:O10"/>
    <mergeCell ref="A11:B11"/>
    <mergeCell ref="C11:L11"/>
    <mergeCell ref="M11:N11"/>
    <mergeCell ref="O11:S11"/>
    <mergeCell ref="B12:J12"/>
    <mergeCell ref="K12:L12"/>
    <mergeCell ref="M12:O12"/>
    <mergeCell ref="A13:B13"/>
    <mergeCell ref="C13:L13"/>
    <mergeCell ref="M13:N13"/>
    <mergeCell ref="O13:S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254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96" t="s">
        <v>79</v>
      </c>
      <c r="R3" s="397"/>
      <c r="S3" s="2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s="45" customFormat="1" ht="13.5" customHeight="1">
      <c r="A6" s="382" t="str">
        <f>T('[1]p16'!$C$13:$G$13)</f>
        <v>Gilberto da Silva Matos</v>
      </c>
      <c r="B6" s="381"/>
      <c r="C6" s="381"/>
      <c r="D6" s="381"/>
      <c r="E6" s="381"/>
      <c r="F6" s="384"/>
      <c r="G6" s="387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:22" ht="12.75">
      <c r="A7" s="61" t="s">
        <v>256</v>
      </c>
      <c r="B7" s="379" t="str">
        <f>IF('[1]p16'!$A$365&lt;&gt;0,'[1]p16'!$A$365,"")</f>
        <v>4o. Encontro de Processos Estocásticos Especiais - Campina Grande</v>
      </c>
      <c r="C7" s="379"/>
      <c r="D7" s="379"/>
      <c r="E7" s="379"/>
      <c r="F7" s="379"/>
      <c r="G7" s="379"/>
      <c r="H7" s="379"/>
      <c r="I7" s="379"/>
      <c r="J7" s="379"/>
      <c r="K7" s="379"/>
      <c r="L7" s="380"/>
      <c r="M7" s="61" t="s">
        <v>252</v>
      </c>
      <c r="N7" s="379" t="str">
        <f>IF('[1]p16'!$I$365&lt;&gt;0,'[1]p16'!$I$365,"")</f>
        <v>UFCG</v>
      </c>
      <c r="O7" s="379"/>
      <c r="P7" s="379"/>
      <c r="Q7" s="380"/>
      <c r="R7" s="121" t="s">
        <v>255</v>
      </c>
      <c r="S7" s="122">
        <f>IF('[1]p16'!$L$365&lt;&gt;0,'[1]p16'!$L$365,"")</f>
        <v>39608</v>
      </c>
      <c r="T7" s="123"/>
      <c r="U7" s="4"/>
      <c r="V7" s="4"/>
    </row>
    <row r="8" spans="1:22" ht="12.75">
      <c r="A8" s="61" t="s">
        <v>256</v>
      </c>
      <c r="B8" s="379" t="str">
        <f>IF('[1]p16'!$A$366&lt;&gt;0,'[1]p16'!$A$366,"")</f>
        <v>Apresentação do seminário: Inferência bayesiana sobre um modelo multidimensional da Teoria de Resposta ao Item.</v>
      </c>
      <c r="C8" s="379"/>
      <c r="D8" s="379"/>
      <c r="E8" s="379"/>
      <c r="F8" s="379"/>
      <c r="G8" s="379"/>
      <c r="H8" s="379"/>
      <c r="I8" s="379"/>
      <c r="J8" s="379"/>
      <c r="K8" s="379"/>
      <c r="L8" s="380"/>
      <c r="M8" s="61" t="s">
        <v>252</v>
      </c>
      <c r="N8" s="379">
        <f>IF('[1]p16'!$I$366&lt;&gt;0,'[1]p16'!$I$366,"")</f>
      </c>
      <c r="O8" s="379"/>
      <c r="P8" s="379"/>
      <c r="Q8" s="380"/>
      <c r="R8" s="121" t="s">
        <v>255</v>
      </c>
      <c r="S8" s="122">
        <f>IF('[1]p16'!$L$366&lt;&gt;0,'[1]p16'!$L$366,"")</f>
      </c>
      <c r="T8" s="123"/>
      <c r="U8" s="4"/>
      <c r="V8" s="4"/>
    </row>
    <row r="9" spans="1:19" s="45" customFormat="1" ht="13.5" customHeight="1">
      <c r="A9" s="382" t="str">
        <f>T('[1]p23'!$C$13:$G$13)</f>
        <v>José Luiz Neto</v>
      </c>
      <c r="B9" s="381"/>
      <c r="C9" s="381"/>
      <c r="D9" s="381"/>
      <c r="E9" s="381"/>
      <c r="F9" s="384"/>
      <c r="G9" s="387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</row>
    <row r="10" spans="1:22" ht="12.75">
      <c r="A10" s="61" t="s">
        <v>256</v>
      </c>
      <c r="B10" s="379" t="str">
        <f>IF('[1]p23'!$A$365&lt;&gt;0,'[1]p23'!$A$365,"")</f>
        <v>O USO DO COMPUTADOR EM SALA DE AULA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80"/>
      <c r="M10" s="61" t="s">
        <v>252</v>
      </c>
      <c r="N10" s="379" t="str">
        <f>IF('[1]p23'!$I$365&lt;&gt;0,'[1]p23'!$I$365,"")</f>
        <v> Monteiro – PB. </v>
      </c>
      <c r="O10" s="379"/>
      <c r="P10" s="379"/>
      <c r="Q10" s="380"/>
      <c r="R10" s="121" t="s">
        <v>255</v>
      </c>
      <c r="S10" s="122">
        <f>IF('[1]p23'!$L$365&lt;&gt;0,'[1]p23'!$L$365,"")</f>
        <v>39597</v>
      </c>
      <c r="T10" s="123"/>
      <c r="U10" s="4"/>
      <c r="V10" s="4"/>
    </row>
    <row r="11" spans="1:19" s="45" customFormat="1" ht="13.5" customHeight="1">
      <c r="A11" s="382" t="str">
        <f>T('[1]p24'!$C$13:$G$13)</f>
        <v>Luiz Mendes Albuquerque Neto</v>
      </c>
      <c r="B11" s="381"/>
      <c r="C11" s="381"/>
      <c r="D11" s="381"/>
      <c r="E11" s="381"/>
      <c r="F11" s="384"/>
      <c r="G11" s="387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</row>
    <row r="12" spans="1:22" ht="12.75">
      <c r="A12" s="61" t="s">
        <v>256</v>
      </c>
      <c r="B12" s="379" t="str">
        <f>IF('[1]p24'!$A$365&lt;&gt;0,'[1]p24'!$A$365,"")</f>
        <v>Palestra "A descoberta da Geometria Não-Euclidiana"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80"/>
      <c r="M12" s="61" t="s">
        <v>252</v>
      </c>
      <c r="N12" s="379" t="str">
        <f>IF('[1]p24'!$I$365&lt;&gt;0,'[1]p24'!$I$365,"")</f>
        <v>UEPB</v>
      </c>
      <c r="O12" s="379"/>
      <c r="P12" s="379"/>
      <c r="Q12" s="380"/>
      <c r="R12" s="121" t="s">
        <v>255</v>
      </c>
      <c r="S12" s="122">
        <f>IF('[1]p24'!$L$365&lt;&gt;0,'[1]p24'!$L$365,"")</f>
        <v>39605</v>
      </c>
      <c r="T12" s="123"/>
      <c r="U12" s="4"/>
      <c r="V12" s="4"/>
    </row>
  </sheetData>
  <sheetProtection password="CEFE" sheet="1" objects="1" scenarios="1"/>
  <mergeCells count="20">
    <mergeCell ref="A4:S5"/>
    <mergeCell ref="A1:S1"/>
    <mergeCell ref="A2:S2"/>
    <mergeCell ref="A3:D3"/>
    <mergeCell ref="Q3:R3"/>
    <mergeCell ref="E3:P3"/>
    <mergeCell ref="A6:F6"/>
    <mergeCell ref="G6:S6"/>
    <mergeCell ref="B7:L7"/>
    <mergeCell ref="N7:Q7"/>
    <mergeCell ref="B8:L8"/>
    <mergeCell ref="N8:Q8"/>
    <mergeCell ref="A9:F9"/>
    <mergeCell ref="G9:S9"/>
    <mergeCell ref="B12:L12"/>
    <mergeCell ref="N12:Q12"/>
    <mergeCell ref="B10:L10"/>
    <mergeCell ref="N10:Q10"/>
    <mergeCell ref="A11:F11"/>
    <mergeCell ref="G11:S1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250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400"/>
      <c r="Q3" s="396" t="s">
        <v>79</v>
      </c>
      <c r="R3" s="397"/>
      <c r="S3" s="2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2.7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s="45" customFormat="1" ht="13.5" customHeight="1">
      <c r="A6" s="382" t="str">
        <f>T('[1]p2'!$C$13:$G$13)</f>
        <v>Alexsandro Bezerra Cavalcanti</v>
      </c>
      <c r="B6" s="381"/>
      <c r="C6" s="381"/>
      <c r="D6" s="381"/>
      <c r="E6" s="381"/>
      <c r="F6" s="384"/>
      <c r="G6" s="387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:22" ht="12.75">
      <c r="A7" s="61" t="s">
        <v>251</v>
      </c>
      <c r="B7" s="379" t="str">
        <f>IF('[1]p2'!$A$358&lt;&gt;0,'[1]p2'!$A$358,"")</f>
        <v>XVIII SINAPE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80"/>
      <c r="T7" s="123"/>
      <c r="U7" s="4"/>
      <c r="V7" s="4"/>
    </row>
    <row r="8" spans="1:19" ht="12.75">
      <c r="A8" s="382" t="s">
        <v>158</v>
      </c>
      <c r="B8" s="381"/>
      <c r="C8" s="386" t="str">
        <f>IF('[1]p2'!$K$358&lt;&gt;0,'[1]p2'!$K$358,"")</f>
        <v>ABE</v>
      </c>
      <c r="D8" s="386"/>
      <c r="E8" s="386"/>
      <c r="F8" s="386"/>
      <c r="G8" s="386"/>
      <c r="H8" s="386"/>
      <c r="I8" s="386"/>
      <c r="J8" s="386"/>
      <c r="K8" s="112" t="s">
        <v>73</v>
      </c>
      <c r="L8" s="168">
        <f>IF('[1]p2'!$I$358&lt;&gt;0,'[1]p2'!$I$358,"")</f>
        <v>39657</v>
      </c>
      <c r="M8" s="169" t="s">
        <v>74</v>
      </c>
      <c r="N8" s="165">
        <f>IF('[1]p2'!$J$358&lt;&gt;0,'[1]p2'!$J$358,"")</f>
        <v>39661</v>
      </c>
      <c r="O8" s="382" t="s">
        <v>253</v>
      </c>
      <c r="P8" s="381"/>
      <c r="Q8" s="386" t="str">
        <f>IF('[1]p2'!$L$358&lt;&gt;0,'[1]p2'!$L$358,"")</f>
        <v>Nacional</v>
      </c>
      <c r="R8" s="386"/>
      <c r="S8" s="402"/>
    </row>
    <row r="9" spans="1:19" s="45" customFormat="1" ht="13.5" customHeight="1">
      <c r="A9" s="387" t="str">
        <f>T('[1]p6'!$C$13:$G$13)</f>
        <v>Antônio José da Silva</v>
      </c>
      <c r="B9" s="385"/>
      <c r="C9" s="385"/>
      <c r="D9" s="385"/>
      <c r="E9" s="385"/>
      <c r="F9" s="401"/>
      <c r="G9" s="387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</row>
    <row r="10" spans="1:22" ht="12.75">
      <c r="A10" s="61" t="s">
        <v>251</v>
      </c>
      <c r="B10" s="379" t="str">
        <f>IF('[1]p6'!$A$358&lt;&gt;0,'[1]p6'!$A$358,"")</f>
        <v>IV Encontro de Inferência em Processos Estocásticos Especiais 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80"/>
      <c r="T10" s="123"/>
      <c r="U10" s="4"/>
      <c r="V10" s="4"/>
    </row>
    <row r="11" spans="1:19" ht="12.75">
      <c r="A11" s="382" t="s">
        <v>158</v>
      </c>
      <c r="B11" s="381"/>
      <c r="C11" s="386" t="str">
        <f>IF('[1]p6'!$K$358&lt;&gt;0,'[1]p6'!$K$358,"")</f>
        <v>UFCG</v>
      </c>
      <c r="D11" s="386"/>
      <c r="E11" s="386"/>
      <c r="F11" s="386"/>
      <c r="G11" s="386"/>
      <c r="H11" s="386"/>
      <c r="I11" s="386"/>
      <c r="J11" s="386"/>
      <c r="K11" s="112" t="s">
        <v>73</v>
      </c>
      <c r="L11" s="168">
        <f>IF('[1]p6'!$I$358&lt;&gt;0,'[1]p6'!$I$358,"")</f>
        <v>39608</v>
      </c>
      <c r="M11" s="169" t="s">
        <v>74</v>
      </c>
      <c r="N11" s="165">
        <f>IF('[1]p6'!$J$358&lt;&gt;0,'[1]p6'!$J$358,"")</f>
        <v>39610</v>
      </c>
      <c r="O11" s="382" t="s">
        <v>253</v>
      </c>
      <c r="P11" s="381"/>
      <c r="Q11" s="386" t="str">
        <f>IF('[1]p6'!$L$358&lt;&gt;0,'[1]p6'!$L$358,"")</f>
        <v>Nacional</v>
      </c>
      <c r="R11" s="386"/>
      <c r="S11" s="402"/>
    </row>
    <row r="12" spans="1:19" s="45" customFormat="1" ht="13.5" customHeight="1">
      <c r="A12" s="387" t="str">
        <f>T('[1]p8'!$C$13:$G$13)</f>
        <v>Aparecido Jesuino de Souza</v>
      </c>
      <c r="B12" s="385"/>
      <c r="C12" s="385"/>
      <c r="D12" s="385"/>
      <c r="E12" s="385"/>
      <c r="F12" s="401"/>
      <c r="G12" s="387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</row>
    <row r="13" spans="1:22" ht="12.75">
      <c r="A13" s="61" t="s">
        <v>251</v>
      </c>
      <c r="B13" s="379" t="str">
        <f>IF('[1]p8'!$A$358&lt;&gt;0,'[1]p8'!$A$358,"")</f>
        <v>Twelfth International Conference on Hyperbolic Problems: Theory, Numerics, and Applications - HYP2008, 2008, College Park, MD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80"/>
      <c r="T13" s="123"/>
      <c r="U13" s="4"/>
      <c r="V13" s="4"/>
    </row>
    <row r="14" spans="1:19" ht="12.75">
      <c r="A14" s="382" t="s">
        <v>158</v>
      </c>
      <c r="B14" s="381"/>
      <c r="C14" s="386" t="str">
        <f>IF('[1]p8'!$K$358&lt;&gt;0,'[1]p8'!$K$358,"")</f>
        <v>U Maryland</v>
      </c>
      <c r="D14" s="386"/>
      <c r="E14" s="386"/>
      <c r="F14" s="386"/>
      <c r="G14" s="386"/>
      <c r="H14" s="386"/>
      <c r="I14" s="386"/>
      <c r="J14" s="386"/>
      <c r="K14" s="112" t="s">
        <v>73</v>
      </c>
      <c r="L14" s="168">
        <f>IF('[1]p8'!$I$358&lt;&gt;0,'[1]p8'!$I$358,"")</f>
        <v>39608</v>
      </c>
      <c r="M14" s="169" t="s">
        <v>74</v>
      </c>
      <c r="N14" s="165">
        <f>IF('[1]p8'!$J$358&lt;&gt;0,'[1]p8'!$J$358,"")</f>
        <v>39612</v>
      </c>
      <c r="O14" s="382" t="s">
        <v>253</v>
      </c>
      <c r="P14" s="381"/>
      <c r="Q14" s="386" t="str">
        <f>IF('[1]p8'!$L$358&lt;&gt;0,'[1]p8'!$L$358,"")</f>
        <v>Internacional</v>
      </c>
      <c r="R14" s="386"/>
      <c r="S14" s="402"/>
    </row>
    <row r="15" spans="1:19" s="45" customFormat="1" ht="13.5" customHeight="1">
      <c r="A15" s="387" t="str">
        <f>T('[1]p14'!$C$13:$G$13)</f>
        <v>Francisco Antônio Morais de Souza</v>
      </c>
      <c r="B15" s="385"/>
      <c r="C15" s="385"/>
      <c r="D15" s="385"/>
      <c r="E15" s="385"/>
      <c r="F15" s="401"/>
      <c r="G15" s="387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</row>
    <row r="16" spans="1:22" ht="12.75">
      <c r="A16" s="61" t="s">
        <v>251</v>
      </c>
      <c r="B16" s="379" t="str">
        <f>IF('[1]p14'!$A$358&lt;&gt;0,'[1]p14'!$A$358,"")</f>
        <v>4º Encontro de Processos Estocásticos Especiais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80"/>
      <c r="T16" s="123"/>
      <c r="U16" s="4"/>
      <c r="V16" s="4"/>
    </row>
    <row r="17" spans="1:19" ht="12.75">
      <c r="A17" s="382" t="s">
        <v>158</v>
      </c>
      <c r="B17" s="381"/>
      <c r="C17" s="386" t="str">
        <f>IF('[1]p14'!$K$358&lt;&gt;0,'[1]p14'!$K$358,"")</f>
        <v>UFCG</v>
      </c>
      <c r="D17" s="386"/>
      <c r="E17" s="386"/>
      <c r="F17" s="386"/>
      <c r="G17" s="386"/>
      <c r="H17" s="386"/>
      <c r="I17" s="386"/>
      <c r="J17" s="386"/>
      <c r="K17" s="112" t="s">
        <v>73</v>
      </c>
      <c r="L17" s="168">
        <f>IF('[1]p14'!$I$358&lt;&gt;0,'[1]p14'!$I$358,"")</f>
        <v>39608</v>
      </c>
      <c r="M17" s="169" t="s">
        <v>74</v>
      </c>
      <c r="N17" s="165">
        <f>IF('[1]p14'!$J$358&lt;&gt;0,'[1]p14'!$J$358,"")</f>
        <v>39610</v>
      </c>
      <c r="O17" s="382" t="s">
        <v>253</v>
      </c>
      <c r="P17" s="381"/>
      <c r="Q17" s="386" t="str">
        <f>IF('[1]p14'!$L$358&lt;&gt;0,'[1]p14'!$L$358,"")</f>
        <v>Nacional</v>
      </c>
      <c r="R17" s="386"/>
      <c r="S17" s="402"/>
    </row>
    <row r="18" spans="1:19" s="45" customFormat="1" ht="13.5" customHeight="1">
      <c r="A18" s="387" t="str">
        <f>T('[1]p23'!$C$13:$G$13)</f>
        <v>José Luiz Neto</v>
      </c>
      <c r="B18" s="385"/>
      <c r="C18" s="385"/>
      <c r="D18" s="385"/>
      <c r="E18" s="385"/>
      <c r="F18" s="401"/>
      <c r="G18" s="387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</row>
    <row r="19" spans="1:22" ht="12.75">
      <c r="A19" s="61" t="s">
        <v>251</v>
      </c>
      <c r="B19" s="379" t="str">
        <f>IF('[1]p23'!$A$358&lt;&gt;0,'[1]p23'!$A$358,"")</f>
        <v>Recepção aos Alunos Novatos do CCT, CEEI e CTRN - Período 2008.1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80"/>
      <c r="T19" s="123"/>
      <c r="U19" s="4"/>
      <c r="V19" s="4"/>
    </row>
    <row r="20" spans="1:19" ht="12.75">
      <c r="A20" s="403" t="s">
        <v>158</v>
      </c>
      <c r="B20" s="404"/>
      <c r="C20" s="383" t="str">
        <f>IF('[1]p23'!$K$358&lt;&gt;0,'[1]p23'!$K$358,"")</f>
        <v>UFCG</v>
      </c>
      <c r="D20" s="383"/>
      <c r="E20" s="383"/>
      <c r="F20" s="383"/>
      <c r="G20" s="383"/>
      <c r="H20" s="383"/>
      <c r="I20" s="383"/>
      <c r="J20" s="383"/>
      <c r="K20" s="120" t="s">
        <v>73</v>
      </c>
      <c r="L20" s="124">
        <f>IF('[1]p23'!$I$358&lt;&gt;0,'[1]p23'!$I$358,"")</f>
        <v>39567</v>
      </c>
      <c r="M20" s="125" t="s">
        <v>74</v>
      </c>
      <c r="N20" s="126">
        <f>IF('[1]p23'!$J$358&lt;&gt;0,'[1]p23'!$J$358,"")</f>
        <v>39567</v>
      </c>
      <c r="O20" s="403" t="s">
        <v>253</v>
      </c>
      <c r="P20" s="404"/>
      <c r="Q20" s="383" t="str">
        <f>IF('[1]p23'!$L$358&lt;&gt;0,'[1]p23'!$L$358,"")</f>
        <v>Local</v>
      </c>
      <c r="R20" s="383"/>
      <c r="S20" s="405"/>
    </row>
    <row r="21" spans="1:22" ht="12.75">
      <c r="A21" s="61" t="s">
        <v>251</v>
      </c>
      <c r="B21" s="379" t="str">
        <f>IF('[1]p23'!$A$359&lt;&gt;0,'[1]p23'!$A$359,"")</f>
        <v>I Semana Acadêmica do CCHE  da UEPB – Campus VI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80"/>
      <c r="T21" s="123"/>
      <c r="U21" s="4"/>
      <c r="V21" s="4"/>
    </row>
    <row r="22" spans="1:19" ht="12.75">
      <c r="A22" s="382" t="s">
        <v>158</v>
      </c>
      <c r="B22" s="381"/>
      <c r="C22" s="386" t="str">
        <f>IF('[1]p23'!$K$359&lt;&gt;0,'[1]p23'!$K$359,"")</f>
        <v>UEPB</v>
      </c>
      <c r="D22" s="386"/>
      <c r="E22" s="386"/>
      <c r="F22" s="386"/>
      <c r="G22" s="386"/>
      <c r="H22" s="386"/>
      <c r="I22" s="386"/>
      <c r="J22" s="386"/>
      <c r="K22" s="112" t="s">
        <v>73</v>
      </c>
      <c r="L22" s="168">
        <f>IF('[1]p23'!$I$359&lt;&gt;0,'[1]p23'!$I$359,"")</f>
        <v>39597</v>
      </c>
      <c r="M22" s="169" t="s">
        <v>74</v>
      </c>
      <c r="N22" s="165">
        <f>IF('[1]p23'!$J$359&lt;&gt;0,'[1]p23'!$J$359,"")</f>
        <v>39597</v>
      </c>
      <c r="O22" s="382" t="s">
        <v>253</v>
      </c>
      <c r="P22" s="381"/>
      <c r="Q22" s="386" t="str">
        <f>IF('[1]p23'!$L$359&lt;&gt;0,'[1]p23'!$L$359,"")</f>
        <v>Regional</v>
      </c>
      <c r="R22" s="386"/>
      <c r="S22" s="402"/>
    </row>
    <row r="23" spans="1:19" s="45" customFormat="1" ht="13.5" customHeight="1">
      <c r="A23" s="387" t="str">
        <f>T('[1]p26'!$C$13:$G$13)</f>
        <v>Marco Aurélio Soares Souto</v>
      </c>
      <c r="B23" s="385"/>
      <c r="C23" s="385"/>
      <c r="D23" s="385"/>
      <c r="E23" s="385"/>
      <c r="F23" s="401"/>
      <c r="G23" s="387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</row>
    <row r="24" spans="1:22" ht="12.75">
      <c r="A24" s="61" t="s">
        <v>251</v>
      </c>
      <c r="B24" s="379" t="str">
        <f>IF('[1]p26'!$A$358&lt;&gt;0,'[1]p26'!$A$358,"")</f>
        <v>Fórum de Pós-Graduação e Pesquisa em Matemática - SBM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80"/>
      <c r="T24" s="123"/>
      <c r="U24" s="4"/>
      <c r="V24" s="4"/>
    </row>
    <row r="25" spans="1:19" ht="12.75">
      <c r="A25" s="382" t="s">
        <v>158</v>
      </c>
      <c r="B25" s="381"/>
      <c r="C25" s="386" t="str">
        <f>IF('[1]p26'!$K$358&lt;&gt;0,'[1]p26'!$K$358,"")</f>
        <v>UFRJ</v>
      </c>
      <c r="D25" s="386"/>
      <c r="E25" s="386"/>
      <c r="F25" s="386"/>
      <c r="G25" s="386"/>
      <c r="H25" s="386"/>
      <c r="I25" s="386"/>
      <c r="J25" s="386"/>
      <c r="K25" s="112" t="s">
        <v>73</v>
      </c>
      <c r="L25" s="168">
        <f>IF('[1]p26'!$I$358&lt;&gt;0,'[1]p26'!$I$358,"")</f>
        <v>39496</v>
      </c>
      <c r="M25" s="169" t="s">
        <v>74</v>
      </c>
      <c r="N25" s="165">
        <f>IF('[1]p26'!$J$358&lt;&gt;0,'[1]p26'!$J$358,"")</f>
        <v>39678</v>
      </c>
      <c r="O25" s="382" t="s">
        <v>253</v>
      </c>
      <c r="P25" s="381"/>
      <c r="Q25" s="386" t="str">
        <f>IF('[1]p26'!$L$358&lt;&gt;0,'[1]p26'!$L$358,"")</f>
        <v>Nacional</v>
      </c>
      <c r="R25" s="386"/>
      <c r="S25" s="402"/>
    </row>
    <row r="26" spans="1:19" s="45" customFormat="1" ht="13.5" customHeight="1">
      <c r="A26" s="387" t="str">
        <f>T('[1]p32'!$C$13:$G$13)</f>
        <v>Rosângela Silveira do Nascimento</v>
      </c>
      <c r="B26" s="385"/>
      <c r="C26" s="385"/>
      <c r="D26" s="385"/>
      <c r="E26" s="385"/>
      <c r="F26" s="401"/>
      <c r="G26" s="387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</row>
    <row r="27" spans="1:22" ht="12.75">
      <c r="A27" s="61" t="s">
        <v>251</v>
      </c>
      <c r="B27" s="379" t="str">
        <f>IF('[1]p32'!$A$358&lt;&gt;0,'[1]p32'!$A$358,"")</f>
        <v>Simpósio Nacional de probabilidade e Estátistica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80"/>
      <c r="T27" s="123"/>
      <c r="U27" s="4"/>
      <c r="V27" s="4"/>
    </row>
    <row r="28" spans="1:19" ht="12.75">
      <c r="A28" s="382" t="s">
        <v>158</v>
      </c>
      <c r="B28" s="381"/>
      <c r="C28" s="386" t="str">
        <f>IF('[1]p32'!$K$358&lt;&gt;0,'[1]p32'!$K$358,"")</f>
        <v>ABE</v>
      </c>
      <c r="D28" s="386"/>
      <c r="E28" s="386"/>
      <c r="F28" s="386"/>
      <c r="G28" s="386"/>
      <c r="H28" s="386"/>
      <c r="I28" s="386"/>
      <c r="J28" s="386"/>
      <c r="K28" s="112" t="s">
        <v>73</v>
      </c>
      <c r="L28" s="168">
        <f>IF('[1]p32'!$I$358&lt;&gt;0,'[1]p32'!$I$358,"")</f>
        <v>39657</v>
      </c>
      <c r="M28" s="169" t="s">
        <v>74</v>
      </c>
      <c r="N28" s="165">
        <f>IF('[1]p32'!$J$358&lt;&gt;0,'[1]p32'!$J$358,"")</f>
        <v>39663</v>
      </c>
      <c r="O28" s="382" t="s">
        <v>253</v>
      </c>
      <c r="P28" s="381"/>
      <c r="Q28" s="386" t="str">
        <f>IF('[1]p32'!$L$358&lt;&gt;0,'[1]p32'!$L$358,"")</f>
        <v>Nacional</v>
      </c>
      <c r="R28" s="386"/>
      <c r="S28" s="402"/>
    </row>
  </sheetData>
  <sheetProtection password="CEFE" sheet="1" objects="1" scenarios="1"/>
  <mergeCells count="60">
    <mergeCell ref="A28:B28"/>
    <mergeCell ref="C28:J28"/>
    <mergeCell ref="O28:P28"/>
    <mergeCell ref="Q28:S28"/>
    <mergeCell ref="A26:F26"/>
    <mergeCell ref="G26:S26"/>
    <mergeCell ref="B27:S27"/>
    <mergeCell ref="A6:F6"/>
    <mergeCell ref="G6:S6"/>
    <mergeCell ref="B7:S7"/>
    <mergeCell ref="A8:B8"/>
    <mergeCell ref="C8:J8"/>
    <mergeCell ref="O8:P8"/>
    <mergeCell ref="Q8:S8"/>
    <mergeCell ref="A9:F9"/>
    <mergeCell ref="G9:S9"/>
    <mergeCell ref="B10:S10"/>
    <mergeCell ref="A11:B11"/>
    <mergeCell ref="C11:J11"/>
    <mergeCell ref="O11:P11"/>
    <mergeCell ref="Q11:S11"/>
    <mergeCell ref="A12:F12"/>
    <mergeCell ref="G12:S12"/>
    <mergeCell ref="B13:S13"/>
    <mergeCell ref="A14:B14"/>
    <mergeCell ref="C14:J14"/>
    <mergeCell ref="O14:P14"/>
    <mergeCell ref="Q14:S14"/>
    <mergeCell ref="A15:F15"/>
    <mergeCell ref="G15:S15"/>
    <mergeCell ref="B16:S16"/>
    <mergeCell ref="A17:B17"/>
    <mergeCell ref="C17:J17"/>
    <mergeCell ref="O17:P17"/>
    <mergeCell ref="Q17:S17"/>
    <mergeCell ref="A18:F18"/>
    <mergeCell ref="G18:S18"/>
    <mergeCell ref="B19:S19"/>
    <mergeCell ref="A20:B20"/>
    <mergeCell ref="C20:J20"/>
    <mergeCell ref="O20:P20"/>
    <mergeCell ref="Q20:S20"/>
    <mergeCell ref="B21:S21"/>
    <mergeCell ref="A22:B22"/>
    <mergeCell ref="C22:J22"/>
    <mergeCell ref="O22:P22"/>
    <mergeCell ref="Q22:S22"/>
    <mergeCell ref="A23:F23"/>
    <mergeCell ref="G23:S23"/>
    <mergeCell ref="B24:S24"/>
    <mergeCell ref="A25:B25"/>
    <mergeCell ref="C25:J25"/>
    <mergeCell ref="O25:P25"/>
    <mergeCell ref="Q25:S25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77</v>
      </c>
      <c r="B3" s="394"/>
      <c r="C3" s="394"/>
      <c r="D3" s="394"/>
      <c r="E3" s="395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5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10" t="s">
        <v>12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2"/>
      <c r="R6" s="33" t="s">
        <v>19</v>
      </c>
      <c r="S6" s="30" t="s">
        <v>25</v>
      </c>
    </row>
    <row r="7" spans="1:19" s="34" customFormat="1" ht="14.25" customHeight="1">
      <c r="A7" s="407" t="str">
        <f>T('[1]p1'!$C$13:$G$13)</f>
        <v>Alciônio Saldanha de Oliveira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9"/>
    </row>
    <row r="8" spans="1:19" s="2" customFormat="1" ht="13.5" customHeight="1">
      <c r="A8" s="406" t="str">
        <f>IF('[1]p1'!$A$346&lt;&gt;0,'[1]p1'!$A$346,"")</f>
        <v>Participação no Comitê Gestor do Projeto Praça da Engenharia - PROENGE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80"/>
      <c r="R8" s="35">
        <f>IF('[1]p1'!$J$346&lt;&gt;0,'[1]p1'!$J$346,"")</f>
      </c>
      <c r="S8" s="44">
        <f>IF('[1]p1'!$K$346&lt;&gt;0,'[1]p1'!$K$346,"")</f>
      </c>
    </row>
    <row r="9" spans="1:19" s="2" customFormat="1" ht="13.5" customHeight="1">
      <c r="A9" s="406" t="str">
        <f>IF('[1]p1'!$A$347&lt;&gt;0,'[1]p1'!$A$347,"")</f>
        <v>Elaboração do sub-projeto de Matemática do PIBID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80"/>
      <c r="R9" s="35">
        <f>IF('[1]p1'!$J$347&lt;&gt;0,'[1]p1'!$J$347,"")</f>
      </c>
      <c r="S9" s="44">
        <f>IF('[1]p1'!$K$347&lt;&gt;0,'[1]p1'!$K$347,"")</f>
      </c>
    </row>
    <row r="10" spans="1:19" s="34" customFormat="1" ht="13.5" customHeight="1">
      <c r="A10" s="382" t="str">
        <f>T('[1]p4'!$C$13:$G$13)</f>
        <v>Amauri Araújo Cruz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4"/>
    </row>
    <row r="11" spans="1:19" s="3" customFormat="1" ht="13.5" customHeight="1">
      <c r="A11" s="406" t="str">
        <f>IF('[1]p4'!$A$346&lt;&gt;0,'[1]p4'!$A$346,"")</f>
        <v>Elaboração e correção da Prova de monitoria da diciplina Álgebra Linear I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80"/>
      <c r="R11" s="35">
        <f>IF('[1]p4'!$J$346&lt;&gt;0,'[1]p4'!$J$346,"")</f>
      </c>
      <c r="S11" s="35">
        <f>IF('[1]p4'!$K$346&lt;&gt;0,'[1]p4'!$K$346,"")</f>
      </c>
    </row>
    <row r="12" spans="1:19" s="45" customFormat="1" ht="13.5" customHeight="1">
      <c r="A12" s="382" t="str">
        <f>T('[1]p6'!$C$13:$G$13)</f>
        <v>Antônio José da Silva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4"/>
    </row>
    <row r="13" spans="1:19" s="3" customFormat="1" ht="13.5" customHeight="1">
      <c r="A13" s="406" t="str">
        <f>IF('[1]p6'!$A$346&lt;&gt;0,'[1]p6'!$A$346,"")</f>
        <v>Parecerista ad-hoc do REUNI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80"/>
      <c r="R13" s="35">
        <f>IF('[1]p6'!$J$346&lt;&gt;0,'[1]p6'!$J$346,"")</f>
        <v>39631</v>
      </c>
      <c r="S13" s="35">
        <f>IF('[1]p6'!$K$346&lt;&gt;0,'[1]p6'!$K$346,"")</f>
        <v>39633</v>
      </c>
    </row>
    <row r="14" spans="1:19" s="45" customFormat="1" ht="13.5" customHeight="1">
      <c r="A14" s="382" t="str">
        <f>T('[1]p7'!$C$13:$G$13)</f>
        <v>Antônio Pereira Brandão Júnior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4"/>
    </row>
    <row r="15" spans="1:19" s="3" customFormat="1" ht="13.5" customHeight="1">
      <c r="A15" s="406" t="str">
        <f>IF('[1]p7'!$A$346&lt;&gt;0,'[1]p7'!$A$346,"")</f>
        <v>Assembléias Departamentais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80"/>
      <c r="R15" s="35">
        <f>IF('[1]p7'!$J$346&lt;&gt;0,'[1]p7'!$J$346,"")</f>
      </c>
      <c r="S15" s="35">
        <f>IF('[1]p7'!$K$346&lt;&gt;0,'[1]p7'!$K$346,"")</f>
      </c>
    </row>
    <row r="16" spans="1:19" s="3" customFormat="1" ht="13.5" customHeight="1">
      <c r="A16" s="406" t="str">
        <f>IF('[1]p7'!$A$347&lt;&gt;0,'[1]p7'!$A$347,"")</f>
        <v>Elaboração e digitação de uma apostila de álgebra não comutativa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80"/>
      <c r="R16" s="35">
        <f>IF('[1]p7'!$J$347&lt;&gt;0,'[1]p7'!$J$347,"")</f>
        <v>39370</v>
      </c>
      <c r="S16" s="35">
        <f>IF('[1]p7'!$K$347&lt;&gt;0,'[1]p7'!$K$347,"")</f>
      </c>
    </row>
    <row r="17" spans="1:19" s="3" customFormat="1" ht="13.5" customHeight="1">
      <c r="A17" s="406" t="str">
        <f>IF('[1]p7'!$A$348&lt;&gt;0,'[1]p7'!$A$348,"")</f>
        <v>Substituição de professor (Álgebra Linear I - Turma 01 - Profa. Miriam)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80"/>
      <c r="R17" s="35">
        <f>IF('[1]p7'!$J$348&lt;&gt;0,'[1]p7'!$J$348,"")</f>
        <v>39562</v>
      </c>
      <c r="S17" s="35">
        <f>IF('[1]p7'!$K$348&lt;&gt;0,'[1]p7'!$K$348,"")</f>
        <v>39581</v>
      </c>
    </row>
    <row r="18" spans="1:19" s="45" customFormat="1" ht="13.5" customHeight="1">
      <c r="A18" s="382" t="str">
        <f>T('[1]p8'!$C$13:$G$13)</f>
        <v>Aparecido Jesuino de Souza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4"/>
    </row>
    <row r="19" spans="1:19" s="3" customFormat="1" ht="13.5" customHeight="1">
      <c r="A19" s="406" t="str">
        <f>IF('[1]p8'!$A$346&lt;&gt;0,'[1]p8'!$A$346,"")</f>
        <v>Vice lider do Grupo de Pesquisa Equações Dif. Parciais do CNPq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80"/>
      <c r="R19" s="35">
        <f>IF('[1]p8'!$J$346&lt;&gt;0,'[1]p8'!$J$346,"")</f>
        <v>36526</v>
      </c>
      <c r="S19" s="35">
        <f>IF('[1]p8'!$K$346&lt;&gt;0,'[1]p8'!$K$346,"")</f>
      </c>
    </row>
    <row r="20" spans="1:19" s="3" customFormat="1" ht="13.5" customHeight="1">
      <c r="A20" s="406" t="str">
        <f>IF('[1]p8'!$A$347&lt;&gt;0,'[1]p8'!$A$347,"")</f>
        <v>Confecção do relatórios das atividades docentes da UAME do período 2008.1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80"/>
      <c r="R20" s="35">
        <f>IF('[1]p8'!$J$347&lt;&gt;0,'[1]p8'!$J$347,"")</f>
        <v>39566</v>
      </c>
      <c r="S20" s="35">
        <f>IF('[1]p8'!$K$347&lt;&gt;0,'[1]p8'!$K$347,"")</f>
        <v>39577</v>
      </c>
    </row>
    <row r="21" spans="1:19" s="3" customFormat="1" ht="13.5" customHeight="1">
      <c r="A21" s="406" t="str">
        <f>IF('[1]p8'!$A$348&lt;&gt;0,'[1]p8'!$A$348,"")</f>
        <v>Elaboração do projeto Institutos Nacionais: Avaço Global e Integrado da Matemática Brasileira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80"/>
      <c r="R21" s="35">
        <f>IF('[1]p8'!$J$348&lt;&gt;0,'[1]p8'!$J$348,"")</f>
        <v>39675</v>
      </c>
      <c r="S21" s="35">
        <f>IF('[1]p8'!$K$348&lt;&gt;0,'[1]p8'!$K$348,"")</f>
        <v>39697</v>
      </c>
    </row>
    <row r="22" spans="1:19" s="45" customFormat="1" ht="13.5" customHeight="1">
      <c r="A22" s="382" t="str">
        <f>T('[1]p11'!$C$13:$G$13)</f>
        <v>Claudianor Oliveira Alves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4"/>
    </row>
    <row r="23" spans="1:19" s="3" customFormat="1" ht="13.5" customHeight="1">
      <c r="A23" s="406" t="str">
        <f>IF('[1]p11'!$A$346&lt;&gt;0,'[1]p11'!$A$346,"")</f>
        <v>Pesquisa em problemas elipticos com crescimento critico exponencial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  <c r="R23" s="35">
        <f>IF('[1]p11'!$J$346&lt;&gt;0,'[1]p11'!$J$346,"")</f>
        <v>39114</v>
      </c>
      <c r="S23" s="35">
        <f>IF('[1]p11'!$K$346&lt;&gt;0,'[1]p11'!$K$346,"")</f>
      </c>
    </row>
    <row r="24" spans="1:19" s="3" customFormat="1" ht="13.5" customHeight="1">
      <c r="A24" s="406" t="str">
        <f>IF('[1]p11'!$A$347&lt;&gt;0,'[1]p11'!$A$347,"")</f>
        <v>Pesquisa em problemas elipticos com funcional Localmente Lipschitziano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80"/>
      <c r="R24" s="35">
        <f>IF('[1]p11'!$J$347&lt;&gt;0,'[1]p11'!$J$347,"")</f>
        <v>39114</v>
      </c>
      <c r="S24" s="35">
        <f>IF('[1]p11'!$K$347&lt;&gt;0,'[1]p11'!$K$347,"")</f>
      </c>
    </row>
    <row r="25" spans="1:19" s="3" customFormat="1" ht="13.5" customHeight="1">
      <c r="A25" s="406" t="str">
        <f>IF('[1]p11'!$A$348&lt;&gt;0,'[1]p11'!$A$348,"")</f>
        <v>Part. no Progr. Interdepartamental de Tec. em Petr. e Gás  ANP/PRH-25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80"/>
      <c r="R25" s="35">
        <f>IF('[1]p11'!$J$348&lt;&gt;0,'[1]p11'!$J$348,"")</f>
        <v>37288</v>
      </c>
      <c r="S25" s="35">
        <f>IF('[1]p11'!$K$348&lt;&gt;0,'[1]p11'!$K$348,"")</f>
      </c>
    </row>
    <row r="26" spans="1:19" s="3" customFormat="1" ht="13.5" customHeight="1">
      <c r="A26" s="406" t="str">
        <f>IF('[1]p11'!$A$349&lt;&gt;0,'[1]p11'!$A$349,"")</f>
        <v>Líder do Grupo de Pesquisa do CNPq - Equações Diferenciais Parciais/UFCG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80"/>
      <c r="R26" s="35">
        <f>IF('[1]p11'!$J$349&lt;&gt;0,'[1]p11'!$J$349,"")</f>
      </c>
      <c r="S26" s="35">
        <f>IF('[1]p11'!$K$349&lt;&gt;0,'[1]p11'!$K$349,"")</f>
      </c>
    </row>
    <row r="27" spans="1:19" s="3" customFormat="1" ht="13.5" customHeight="1">
      <c r="A27" s="406" t="str">
        <f>IF('[1]p11'!$A$350&lt;&gt;0,'[1]p11'!$A$350,"")</f>
        <v> Membro do corpo editorial da revista Differential Equations and Applications (DEA).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80"/>
      <c r="R27" s="35">
        <f>IF('[1]p11'!$J$350&lt;&gt;0,'[1]p11'!$J$350,"")</f>
        <v>39600</v>
      </c>
      <c r="S27" s="35">
        <f>IF('[1]p11'!$K$350&lt;&gt;0,'[1]p11'!$K$350,"")</f>
      </c>
    </row>
    <row r="28" spans="1:19" s="45" customFormat="1" ht="13.5" customHeight="1">
      <c r="A28" s="382" t="str">
        <f>T('[1]p12'!$C$13:$G$13)</f>
        <v>Daniel Cordeiro de Morais Filho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4"/>
    </row>
    <row r="29" spans="1:19" s="3" customFormat="1" ht="13.5" customHeight="1">
      <c r="A29" s="406" t="str">
        <f>IF('[1]p12'!$A$346&lt;&gt;0,'[1]p12'!$A$346,"")</f>
        <v>Pesquisador do Instituto do Milênio em Matemática, IM-AGIMB.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80"/>
      <c r="R29" s="35">
        <f>IF('[1]p12'!$J$346&lt;&gt;0,'[1]p12'!$J$346,"")</f>
        <v>38112</v>
      </c>
      <c r="S29" s="35">
        <f>IF('[1]p12'!$K$346&lt;&gt;0,'[1]p12'!$K$346,"")</f>
      </c>
    </row>
    <row r="30" spans="1:19" s="3" customFormat="1" ht="13.5" customHeight="1">
      <c r="A30" s="406" t="str">
        <f>IF('[1]p12'!$A$348&lt;&gt;0,'[1]p12'!$A$348,"")</f>
        <v>Preparação do livro ``Manual de Redação Matemática''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80"/>
      <c r="R30" s="35">
        <f>IF('[1]p12'!$J$348&lt;&gt;0,'[1]p12'!$J$348,"")</f>
      </c>
      <c r="S30" s="35">
        <f>IF('[1]p12'!$K$348&lt;&gt;0,'[1]p12'!$K$348,"")</f>
      </c>
    </row>
    <row r="31" spans="1:19" s="3" customFormat="1" ht="13.5" customHeight="1">
      <c r="A31" s="406" t="str">
        <f>IF('[1]p12'!$A$349&lt;&gt;0,'[1]p12'!$A$349,"")</f>
        <v>Preparação da terceira edição do livro ``Um convite 'a Matemática''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80"/>
      <c r="R31" s="35">
        <f>IF('[1]p12'!$J$349&lt;&gt;0,'[1]p12'!$J$349,"")</f>
        <v>39326</v>
      </c>
      <c r="S31" s="35">
        <f>IF('[1]p12'!$K$349&lt;&gt;0,'[1]p12'!$K$349,"")</f>
      </c>
    </row>
    <row r="32" spans="1:19" s="45" customFormat="1" ht="13.5" customHeight="1">
      <c r="A32" s="382" t="str">
        <f>T('[1]p13'!$C$13:$G$13)</f>
        <v>Florence Ayres Campello de Oliveira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4"/>
    </row>
    <row r="33" spans="1:19" s="3" customFormat="1" ht="13.5" customHeight="1">
      <c r="A33" s="406" t="str">
        <f>IF('[1]p13'!$A$346&lt;&gt;0,'[1]p13'!$A$346,"")</f>
        <v>Estudo do material da Experimentoteca da USP-São Carlos  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80"/>
      <c r="R33" s="35">
        <f>IF('[1]p13'!$J$346&lt;&gt;0,'[1]p13'!$J$346,"")</f>
        <v>39567</v>
      </c>
      <c r="S33" s="35">
        <f>IF('[1]p13'!$K$346&lt;&gt;0,'[1]p13'!$K$346,"")</f>
      </c>
    </row>
    <row r="34" spans="1:19" s="45" customFormat="1" ht="13.5" customHeight="1">
      <c r="A34" s="382" t="str">
        <f>T('[1]p14'!$C$13:$G$13)</f>
        <v>Francisco Antônio Morais de Souza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4"/>
    </row>
    <row r="35" spans="1:19" s="3" customFormat="1" ht="13.5" customHeight="1">
      <c r="A35" s="406" t="str">
        <f>IF('[1]p14'!$A$346&lt;&gt;0,'[1]p14'!$A$346,"")</f>
        <v>Presidente da Comissão para Elaboração do Projeto Pedagógico do Curso de Engenharia do Petróleo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80"/>
      <c r="R35" s="35">
        <f>IF('[1]p14'!$J$346&lt;&gt;0,'[1]p14'!$J$346,"")</f>
        <v>39563</v>
      </c>
      <c r="S35" s="35">
        <f>IF('[1]p14'!$K$346&lt;&gt;0,'[1]p14'!$K$346,"")</f>
        <v>39696</v>
      </c>
    </row>
    <row r="36" spans="1:19" s="45" customFormat="1" ht="13.5" customHeight="1">
      <c r="A36" s="382" t="str">
        <f>T('[1]p18'!$C$13:$G$13)</f>
        <v>Izabel Maria Barbosa de Albuquerque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4"/>
    </row>
    <row r="37" spans="1:19" s="3" customFormat="1" ht="13.5" customHeight="1">
      <c r="A37" s="406" t="str">
        <f>IF('[1]p18'!$A$346&lt;&gt;0,'[1]p18'!$A$346,"")</f>
        <v> Estudo do material da Experimentoteca da USP-São Carlos  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80"/>
      <c r="R37" s="35">
        <f>IF('[1]p18'!$J$346&lt;&gt;0,'[1]p18'!$J$346,"")</f>
        <v>39567</v>
      </c>
      <c r="S37" s="35">
        <f>IF('[1]p18'!$K$346&lt;&gt;0,'[1]p18'!$K$346,"")</f>
      </c>
    </row>
    <row r="38" spans="1:19" s="45" customFormat="1" ht="13.5" customHeight="1">
      <c r="A38" s="382" t="str">
        <f>T('[1]p19'!$C$13:$G$13)</f>
        <v>Jesualdo Gomes das Chagas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4"/>
    </row>
    <row r="39" spans="1:19" s="3" customFormat="1" ht="13.5" customHeight="1">
      <c r="A39" s="406" t="str">
        <f>IF('[1]p19'!$A$346&lt;&gt;0,'[1]p19'!$A$346,"")</f>
        <v>Participação de reuniões departamentais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80"/>
      <c r="R39" s="35">
        <f>IF('[1]p19'!$J$346&lt;&gt;0,'[1]p19'!$J$346,"")</f>
      </c>
      <c r="S39" s="35">
        <f>IF('[1]p19'!$K$346&lt;&gt;0,'[1]p19'!$K$346,"")</f>
      </c>
    </row>
    <row r="40" spans="1:19" s="3" customFormat="1" ht="13.5" customHeight="1">
      <c r="A40" s="406" t="str">
        <f>IF('[1]p19'!$A$347&lt;&gt;0,'[1]p19'!$A$347,"")</f>
        <v>Aplicação e correção de provas (reposição e final), preenchimento do diário da turma 02 de análise I da Professora Bianca.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80"/>
      <c r="R40" s="35">
        <f>IF('[1]p19'!$J$347&lt;&gt;0,'[1]p19'!$J$347,"")</f>
      </c>
      <c r="S40" s="35">
        <f>IF('[1]p19'!$K$347&lt;&gt;0,'[1]p19'!$K$347,"")</f>
      </c>
    </row>
    <row r="41" spans="1:19" s="45" customFormat="1" ht="13.5" customHeight="1">
      <c r="A41" s="382" t="str">
        <f>T('[1]p22'!$C$13:$G$13)</f>
        <v>José Lindomberg Possiano Barreiro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4"/>
    </row>
    <row r="42" spans="1:19" s="3" customFormat="1" ht="13.5" customHeight="1">
      <c r="A42" s="406" t="str">
        <f>IF('[1]p22'!$A$346&lt;&gt;0,'[1]p22'!$A$346,"")</f>
        <v>Participação em conferencias na UAME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80"/>
      <c r="R42" s="35">
        <f>IF('[1]p22'!$J$346&lt;&gt;0,'[1]p22'!$J$346,"")</f>
      </c>
      <c r="S42" s="35">
        <f>IF('[1]p22'!$K$346&lt;&gt;0,'[1]p22'!$K$346,"")</f>
      </c>
    </row>
    <row r="43" spans="1:19" s="3" customFormat="1" ht="13.5" customHeight="1">
      <c r="A43" s="406" t="str">
        <f>IF('[1]p22'!$A$347&lt;&gt;0,'[1]p22'!$A$347,"")</f>
        <v>Processos de dispensa de disciplina e revislão de provas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80"/>
      <c r="R43" s="35">
        <f>IF('[1]p22'!$J$347&lt;&gt;0,'[1]p22'!$J$347,"")</f>
      </c>
      <c r="S43" s="35">
        <f>IF('[1]p22'!$K$347&lt;&gt;0,'[1]p22'!$K$347,"")</f>
      </c>
    </row>
    <row r="44" spans="1:19" s="45" customFormat="1" ht="13.5" customHeight="1">
      <c r="A44" s="382" t="str">
        <f>T('[1]p23'!$C$13:$G$13)</f>
        <v>José Luiz Neto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4"/>
    </row>
    <row r="45" spans="1:19" s="3" customFormat="1" ht="13.5" customHeight="1">
      <c r="A45" s="406" t="str">
        <f>IF('[1]p23'!$A$346&lt;&gt;0,'[1]p23'!$A$346,"")</f>
        <v>Recepção aos Alunos Novatos do CCT, CEEI e CTRN - Período 2008.1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80"/>
      <c r="R45" s="35">
        <f>IF('[1]p23'!$J$346&lt;&gt;0,'[1]p23'!$J$346,"")</f>
        <v>39567</v>
      </c>
      <c r="S45" s="35">
        <f>IF('[1]p23'!$K$346&lt;&gt;0,'[1]p23'!$K$346,"")</f>
        <v>39567</v>
      </c>
    </row>
    <row r="46" spans="1:19" s="3" customFormat="1" ht="13.5" customHeight="1">
      <c r="A46" s="406" t="str">
        <f>IF('[1]p23'!$A$347&lt;&gt;0,'[1]p23'!$A$347,"")</f>
        <v>I Semana Acadêmica do CCHE  da UEPB – Campus VI – Monteiro – PB. 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80"/>
      <c r="R46" s="35">
        <f>IF('[1]p23'!$J$347&lt;&gt;0,'[1]p23'!$J$347,"")</f>
        <v>39597</v>
      </c>
      <c r="S46" s="35">
        <f>IF('[1]p23'!$K$347&lt;&gt;0,'[1]p23'!$K$347,"")</f>
        <v>39597</v>
      </c>
    </row>
    <row r="47" spans="1:19" s="45" customFormat="1" ht="13.5" customHeight="1">
      <c r="A47" s="382" t="str">
        <f>T('[1]p24'!$C$13:$G$13)</f>
        <v>Luiz Mendes Albuquerque Neto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4"/>
    </row>
    <row r="48" spans="1:19" s="3" customFormat="1" ht="13.5" customHeight="1">
      <c r="A48" s="406" t="str">
        <f>IF('[1]p24'!$A$347&lt;&gt;0,'[1]p24'!$A$347,"")</f>
        <v>Coordenador Local da OBM-nível universitário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80"/>
      <c r="R48" s="35">
        <f>IF('[1]p24'!$J$347&lt;&gt;0,'[1]p24'!$J$347,"")</f>
        <v>38777</v>
      </c>
      <c r="S48" s="35" t="str">
        <f>IF('[1]p24'!$K$347&lt;&gt;0,'[1]p24'!$K$347,"")</f>
        <v>permanente</v>
      </c>
    </row>
    <row r="49" spans="1:19" s="3" customFormat="1" ht="13.5" customHeight="1">
      <c r="A49" s="406" t="str">
        <f>IF('[1]p24'!$A$348&lt;&gt;0,'[1]p24'!$A$348,"")</f>
        <v>Trabalho de tradução para a língua inglesa do projeto de participação do DME no INCT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80"/>
      <c r="R49" s="35">
        <f>IF('[1]p24'!$J$348&lt;&gt;0,'[1]p24'!$J$348,"")</f>
        <v>39689</v>
      </c>
      <c r="S49" s="35">
        <f>IF('[1]p24'!$K$348&lt;&gt;0,'[1]p24'!$K$348,"")</f>
        <v>39692</v>
      </c>
    </row>
    <row r="50" spans="1:19" s="45" customFormat="1" ht="13.5" customHeight="1">
      <c r="A50" s="382" t="str">
        <f>T('[1]p25'!$C$13:$G$13)</f>
        <v>Marcelo Carvalho Ferreira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4"/>
    </row>
    <row r="51" spans="1:19" s="3" customFormat="1" ht="13.5" customHeight="1">
      <c r="A51" s="406" t="str">
        <f>IF('[1]p25'!$A$346&lt;&gt;0,'[1]p25'!$A$346,"")</f>
        <v>AVALIAÇÃO DAS PROVAS DE MATEMÁTICA DO VESTIBULAR 2008 DA UFCG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80"/>
      <c r="R51" s="35">
        <f>IF('[1]p25'!$J$346&lt;&gt;0,'[1]p25'!$J$346,"")</f>
        <v>39583</v>
      </c>
      <c r="S51" s="35">
        <f>IF('[1]p25'!$K$346&lt;&gt;0,'[1]p25'!$K$346,"")</f>
        <v>39637</v>
      </c>
    </row>
    <row r="52" spans="1:19" s="3" customFormat="1" ht="13.5" customHeight="1">
      <c r="A52" s="406" t="str">
        <f>IF('[1]p25'!$A$347&lt;&gt;0,'[1]p25'!$A$347,"")</f>
        <v>PARTICIPAÇÃ0 EM BANCAS E COMISSÕES EXAMINADORAS ( BOLSAS REUNI)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80"/>
      <c r="R52" s="35">
        <f>IF('[1]p25'!$J$347&lt;&gt;0,'[1]p25'!$J$347,"")</f>
        <v>39598</v>
      </c>
      <c r="S52" s="35">
        <f>IF('[1]p25'!$K$347&lt;&gt;0,'[1]p25'!$K$347,"")</f>
      </c>
    </row>
    <row r="53" spans="1:19" s="3" customFormat="1" ht="13.5" customHeight="1">
      <c r="A53" s="406" t="str">
        <f>IF('[1]p25'!$A$348&lt;&gt;0,'[1]p25'!$A$348,"")</f>
        <v>RELATOR DE ALGUNS PROCESSOS DE SOLICITAÇÃO DE DISPENSA DE DISCIPLINA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80"/>
      <c r="R53" s="35">
        <f>IF('[1]p25'!$J$348&lt;&gt;0,'[1]p25'!$J$348,"")</f>
      </c>
      <c r="S53" s="35">
        <f>IF('[1]p25'!$K$348&lt;&gt;0,'[1]p25'!$K$348,"")</f>
      </c>
    </row>
    <row r="54" spans="1:19" s="45" customFormat="1" ht="13.5" customHeight="1">
      <c r="A54" s="382" t="str">
        <f>T('[1]p26'!$C$13:$G$13)</f>
        <v>Marco Aurélio Soares Souto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4"/>
    </row>
    <row r="55" spans="1:19" s="3" customFormat="1" ht="13.5" customHeight="1">
      <c r="A55" s="406" t="str">
        <f>IF('[1]p26'!$A$346&lt;&gt;0,'[1]p26'!$A$346,"")</f>
        <v>Part. no Progr. Interdepartamental de Tec. em Petr. e Gás  ANP/PRH-25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80"/>
      <c r="R55" s="35">
        <f>IF('[1]p26'!$J$346&lt;&gt;0,'[1]p26'!$J$346,"")</f>
        <v>37288</v>
      </c>
      <c r="S55" s="35">
        <f>IF('[1]p26'!$K$346&lt;&gt;0,'[1]p26'!$K$346,"")</f>
      </c>
    </row>
    <row r="56" spans="1:19" s="3" customFormat="1" ht="13.5" customHeight="1">
      <c r="A56" s="406" t="str">
        <f>IF('[1]p26'!$A$347&lt;&gt;0,'[1]p26'!$A$347,"")</f>
        <v>Susbstituição de EDL (12 horas)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80"/>
      <c r="R56" s="35">
        <f>IF('[1]p26'!$J$347&lt;&gt;0,'[1]p26'!$J$347,"")</f>
      </c>
      <c r="S56" s="35">
        <f>IF('[1]p26'!$K$347&lt;&gt;0,'[1]p26'!$K$347,"")</f>
      </c>
    </row>
    <row r="57" spans="1:19" s="45" customFormat="1" ht="13.5" customHeight="1">
      <c r="A57" s="382" t="str">
        <f>T('[1]p28'!$C$13:$G$13)</f>
        <v>Michelli Karinne Barros da Silva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4"/>
    </row>
    <row r="58" spans="1:19" s="3" customFormat="1" ht="13.5" customHeight="1">
      <c r="A58" s="406" t="str">
        <f>IF('[1]p28'!$A$346&lt;&gt;0,'[1]p28'!$A$346,"")</f>
        <v>Participação da comissão de elaboração do PPC do curso de Estatística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80"/>
      <c r="R58" s="35">
        <f>IF('[1]p28'!$J$346&lt;&gt;0,'[1]p28'!$J$346,"")</f>
        <v>39650</v>
      </c>
      <c r="S58" s="35">
        <f>IF('[1]p28'!$K$346&lt;&gt;0,'[1]p28'!$K$346,"")</f>
      </c>
    </row>
    <row r="59" spans="1:19" s="3" customFormat="1" ht="13.5" customHeight="1">
      <c r="A59" s="406" t="str">
        <f>IF('[1]p28'!$A$347&lt;&gt;0,'[1]p28'!$A$347,"")</f>
        <v>Parecer em processos de dispensa de disciplinas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80"/>
      <c r="R59" s="35">
        <f>IF('[1]p28'!$J$347&lt;&gt;0,'[1]p28'!$J$347,"")</f>
      </c>
      <c r="S59" s="35">
        <f>IF('[1]p28'!$K$347&lt;&gt;0,'[1]p28'!$K$347,"")</f>
      </c>
    </row>
    <row r="60" spans="1:19" s="45" customFormat="1" ht="13.5" customHeight="1">
      <c r="A60" s="382" t="str">
        <f>T('[1]p30'!$C$13:$G$13)</f>
        <v>Patrícia Batista Leal</v>
      </c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4"/>
    </row>
    <row r="61" spans="1:19" s="3" customFormat="1" ht="13.5" customHeight="1">
      <c r="A61" s="406" t="str">
        <f>IF('[1]p30'!$A$346&lt;&gt;0,'[1]p30'!$A$346,"")</f>
        <v>Participação da Comissão de elaboração do PPC do Curso Estatística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80"/>
      <c r="R61" s="35">
        <f>IF('[1]p30'!$J$346&lt;&gt;0,'[1]p30'!$J$346,"")</f>
        <v>39650</v>
      </c>
      <c r="S61" s="35">
        <f>IF('[1]p30'!$K$346&lt;&gt;0,'[1]p30'!$K$346,"")</f>
      </c>
    </row>
    <row r="62" spans="1:19" s="45" customFormat="1" ht="13.5" customHeight="1">
      <c r="A62" s="382" t="str">
        <f>T('[1]p32'!$C$13:$G$13)</f>
        <v>Rosângela Silveira do Nascimento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4"/>
    </row>
    <row r="63" spans="1:19" s="3" customFormat="1" ht="13.5" customHeight="1">
      <c r="A63" s="406" t="str">
        <f>IF('[1]p32'!$A$346&lt;&gt;0,'[1]p32'!$A$346,"")</f>
        <v>correção do texto de dissertação apresentada em fevereiro</v>
      </c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80"/>
      <c r="R63" s="35" t="str">
        <f>IF('[1]p32'!$J$346&lt;&gt;0,'[1]p32'!$J$346,"")</f>
        <v>abril</v>
      </c>
      <c r="S63" s="35" t="str">
        <f>IF('[1]p32'!$K$346&lt;&gt;0,'[1]p32'!$K$346,"")</f>
        <v>junho</v>
      </c>
    </row>
    <row r="64" spans="1:19" s="3" customFormat="1" ht="13.5" customHeight="1">
      <c r="A64" s="406" t="str">
        <f>IF('[1]p32'!$A$347&lt;&gt;0,'[1]p32'!$A$347,"")</f>
        <v>processos de dispensa de disciplina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80"/>
      <c r="R64" s="35">
        <f>IF('[1]p32'!$J$347&lt;&gt;0,'[1]p32'!$J$347,"")</f>
      </c>
      <c r="S64" s="35">
        <f>IF('[1]p32'!$K$347&lt;&gt;0,'[1]p32'!$K$347,"")</f>
      </c>
    </row>
    <row r="65" spans="1:19" s="45" customFormat="1" ht="13.5" customHeight="1">
      <c r="A65" s="382" t="str">
        <f>T('[1]p33'!$C$13:$G$13)</f>
        <v>Sérgio Mota Alves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4"/>
    </row>
    <row r="66" spans="1:19" s="3" customFormat="1" ht="13.5" customHeight="1">
      <c r="A66" s="406" t="str">
        <f>IF('[1]p33'!$A$346&lt;&gt;0,'[1]p33'!$A$346,"")</f>
        <v>Assembléias Departamentais</v>
      </c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80"/>
      <c r="R66" s="35">
        <f>IF('[1]p33'!$J$346&lt;&gt;0,'[1]p33'!$J$346,"")</f>
      </c>
      <c r="S66" s="35">
        <f>IF('[1]p33'!$K$346&lt;&gt;0,'[1]p33'!$K$346,"")</f>
      </c>
    </row>
    <row r="67" spans="1:19" s="45" customFormat="1" ht="13.5" customHeight="1">
      <c r="A67" s="382" t="str">
        <f>T('[1]p34'!$C$13:$G$13)</f>
        <v>Vandik Estevam Barbosa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4"/>
    </row>
    <row r="68" spans="1:19" s="3" customFormat="1" ht="13.5" customHeight="1">
      <c r="A68" s="406" t="str">
        <f>IF('[1]p34'!$A$346&lt;&gt;0,'[1]p34'!$A$346,"")</f>
        <v>PROCESSOS RELATADOS: 002660/08-54; 002959/08-00; 005345/08-65; 009319/08-43; 009493/08-73; 009813/08-76; 005345/08-65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80"/>
      <c r="R68" s="35">
        <f>IF('[1]p34'!$J$346&lt;&gt;0,'[1]p34'!$J$346,"")</f>
      </c>
      <c r="S68" s="35">
        <f>IF('[1]p34'!$K$346&lt;&gt;0,'[1]p34'!$K$346,"")</f>
      </c>
    </row>
    <row r="69" spans="1:19" s="3" customFormat="1" ht="13.5" customHeight="1">
      <c r="A69" s="406" t="str">
        <f>IF('[1]p34'!$A$347&lt;&gt;0,'[1]p34'!$A$347,"")</f>
        <v>006122/08-54; 018093/08-43; 018557/08-54; 021931/08-21; 023039/08-00; 023040/08-10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80"/>
      <c r="R69" s="35">
        <f>IF('[1]p34'!$J$347&lt;&gt;0,'[1]p34'!$J$347,"")</f>
      </c>
      <c r="S69" s="35">
        <f>IF('[1]p34'!$K$347&lt;&gt;0,'[1]p34'!$K$347,"")</f>
      </c>
    </row>
    <row r="70" spans="1:19" s="3" customFormat="1" ht="13.5" customHeight="1">
      <c r="A70" s="406" t="str">
        <f>IF('[1]p34'!$A$348&lt;&gt;0,'[1]p34'!$A$348,"")</f>
        <v>Minicurso: Aplicação da derivada na solução de problemas econômicos. Na FAFOPAI 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80"/>
      <c r="R70" s="35">
        <f>IF('[1]p34'!$J$348&lt;&gt;0,'[1]p34'!$J$348,"")</f>
        <v>39682</v>
      </c>
      <c r="S70" s="35">
        <f>IF('[1]p34'!$K$348&lt;&gt;0,'[1]p34'!$K$348,"")</f>
        <v>39683</v>
      </c>
    </row>
    <row r="71" spans="1:19" s="3" customFormat="1" ht="13.5" customHeight="1">
      <c r="A71" s="406" t="str">
        <f>IF('[1]p34'!$A$349&lt;&gt;0,'[1]p34'!$A$349,"")</f>
        <v>Reunião da UAME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80"/>
      <c r="R71" s="35">
        <f>IF('[1]p34'!$J$349&lt;&gt;0,'[1]p34'!$J$349,"")</f>
      </c>
      <c r="S71" s="35">
        <f>IF('[1]p34'!$K$349&lt;&gt;0,'[1]p34'!$K$349,"")</f>
      </c>
    </row>
    <row r="72" spans="1:19" s="3" customFormat="1" ht="13.5" customHeight="1">
      <c r="A72" s="406" t="str">
        <f>IF('[1]p34'!$A$350&lt;&gt;0,'[1]p34'!$A$350,"")</f>
        <v>COMISSÃO DE AVALIAÇÃO DA PROVA DE MATEMÁTICA, PRIMEIRA E SEGUNDA ETAPAS DO CONCURSO VESTIBULAR 2008 DA UFCG.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80"/>
      <c r="R72" s="35">
        <f>IF('[1]p34'!$J$350&lt;&gt;0,'[1]p34'!$J$350,"")</f>
      </c>
      <c r="S72" s="35">
        <f>IF('[1]p34'!$K$350&lt;&gt;0,'[1]p34'!$K$350,"")</f>
        <v>39637</v>
      </c>
    </row>
  </sheetData>
  <sheetProtection password="CEFE" sheet="1" objects="1" scenarios="1"/>
  <mergeCells count="72">
    <mergeCell ref="A8:Q8"/>
    <mergeCell ref="A9:Q9"/>
    <mergeCell ref="A4:S5"/>
    <mergeCell ref="A7:S7"/>
    <mergeCell ref="A6:Q6"/>
    <mergeCell ref="A1:S1"/>
    <mergeCell ref="A2:S2"/>
    <mergeCell ref="A3:E3"/>
    <mergeCell ref="F3:Q3"/>
    <mergeCell ref="A10:S10"/>
    <mergeCell ref="A11:Q11"/>
    <mergeCell ref="A12:S12"/>
    <mergeCell ref="A13:Q13"/>
    <mergeCell ref="A14:S14"/>
    <mergeCell ref="A15:Q15"/>
    <mergeCell ref="A16:Q16"/>
    <mergeCell ref="A17:Q17"/>
    <mergeCell ref="A18:S18"/>
    <mergeCell ref="A19:Q19"/>
    <mergeCell ref="A20:Q20"/>
    <mergeCell ref="A21:Q21"/>
    <mergeCell ref="A22:S22"/>
    <mergeCell ref="A23:Q23"/>
    <mergeCell ref="A24:Q24"/>
    <mergeCell ref="A25:Q25"/>
    <mergeCell ref="A26:Q26"/>
    <mergeCell ref="A27:Q27"/>
    <mergeCell ref="A28:S28"/>
    <mergeCell ref="A29:Q29"/>
    <mergeCell ref="A30:Q30"/>
    <mergeCell ref="A31:Q31"/>
    <mergeCell ref="A32:S32"/>
    <mergeCell ref="A33:Q33"/>
    <mergeCell ref="A34:S34"/>
    <mergeCell ref="A35:Q35"/>
    <mergeCell ref="A36:S36"/>
    <mergeCell ref="A37:Q37"/>
    <mergeCell ref="A38:S38"/>
    <mergeCell ref="A39:Q39"/>
    <mergeCell ref="A40:Q40"/>
    <mergeCell ref="A44:S44"/>
    <mergeCell ref="A45:Q45"/>
    <mergeCell ref="A46:Q46"/>
    <mergeCell ref="A43:Q43"/>
    <mergeCell ref="A50:S50"/>
    <mergeCell ref="A51:Q51"/>
    <mergeCell ref="A49:Q49"/>
    <mergeCell ref="A52:Q52"/>
    <mergeCell ref="A53:Q53"/>
    <mergeCell ref="A54:S54"/>
    <mergeCell ref="A55:Q55"/>
    <mergeCell ref="A56:Q56"/>
    <mergeCell ref="A57:S57"/>
    <mergeCell ref="A58:Q58"/>
    <mergeCell ref="A59:Q59"/>
    <mergeCell ref="A60:S60"/>
    <mergeCell ref="A61:Q61"/>
    <mergeCell ref="A69:Q69"/>
    <mergeCell ref="A62:S62"/>
    <mergeCell ref="A63:Q63"/>
    <mergeCell ref="A64:Q64"/>
    <mergeCell ref="A65:S65"/>
    <mergeCell ref="A70:Q70"/>
    <mergeCell ref="A71:Q71"/>
    <mergeCell ref="A72:Q72"/>
    <mergeCell ref="A41:S41"/>
    <mergeCell ref="A42:Q42"/>
    <mergeCell ref="A47:S47"/>
    <mergeCell ref="A48:Q48"/>
    <mergeCell ref="A66:Q66"/>
    <mergeCell ref="A67:S67"/>
    <mergeCell ref="A68:Q6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3" max="255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E2" sqref="E2:P2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3" t="s">
        <v>51</v>
      </c>
      <c r="B2" s="394"/>
      <c r="C2" s="394"/>
      <c r="D2" s="395"/>
      <c r="E2" s="398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396" t="s">
        <v>79</v>
      </c>
      <c r="R2" s="397"/>
      <c r="S2" s="29" t="str">
        <f>'[1]p1'!$H$4</f>
        <v>2008.1</v>
      </c>
    </row>
    <row r="3" spans="1:19" ht="13.5" thickBot="1">
      <c r="A3" s="410" t="s">
        <v>12</v>
      </c>
      <c r="B3" s="411"/>
      <c r="C3" s="411"/>
      <c r="D3" s="411"/>
      <c r="E3" s="412"/>
      <c r="F3" s="410" t="s">
        <v>24</v>
      </c>
      <c r="G3" s="411"/>
      <c r="H3" s="411"/>
      <c r="I3" s="411"/>
      <c r="J3" s="411"/>
      <c r="K3" s="411"/>
      <c r="L3" s="411"/>
      <c r="M3" s="412"/>
      <c r="N3" s="410" t="s">
        <v>17</v>
      </c>
      <c r="O3" s="411"/>
      <c r="P3" s="411"/>
      <c r="Q3" s="412"/>
      <c r="R3" s="33" t="s">
        <v>19</v>
      </c>
      <c r="S3" s="30" t="s">
        <v>25</v>
      </c>
    </row>
    <row r="4" spans="1:19" s="45" customFormat="1" ht="13.5" customHeight="1">
      <c r="A4" s="382" t="str">
        <f>T('[1]p1'!$C$13:$G$13)</f>
        <v>Alciônio Saldanha de Oliveira</v>
      </c>
      <c r="B4" s="381"/>
      <c r="C4" s="381"/>
      <c r="D4" s="381"/>
      <c r="E4" s="381"/>
      <c r="F4" s="384"/>
      <c r="G4" s="387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45" customFormat="1" ht="13.5" customHeight="1">
      <c r="A5" s="406" t="str">
        <f>IF('[1]p1'!$A$324&lt;&gt;0,'[1]p1'!$A$324,"")</f>
        <v>Graduação em Matemática</v>
      </c>
      <c r="B5" s="379"/>
      <c r="C5" s="379"/>
      <c r="D5" s="379"/>
      <c r="E5" s="380"/>
      <c r="F5" s="406" t="str">
        <f>IF('[1]p1'!$B$325&lt;&gt;0,'[1]p1'!$B$325,"")</f>
        <v>Participação em Colegiado de Curso como membro titular, exceto membro nato</v>
      </c>
      <c r="G5" s="379"/>
      <c r="H5" s="379"/>
      <c r="I5" s="379"/>
      <c r="J5" s="379"/>
      <c r="K5" s="379"/>
      <c r="L5" s="379"/>
      <c r="M5" s="380"/>
      <c r="N5" s="406" t="str">
        <f>IF('[1]p1'!$H$324&lt;&gt;0,'[1]p1'!$H$324,"")</f>
        <v>Port./UAME/007/2007</v>
      </c>
      <c r="O5" s="379"/>
      <c r="P5" s="379"/>
      <c r="Q5" s="380"/>
      <c r="R5" s="35">
        <f>IF('[1]p1'!$J$324&lt;&gt;0,'[1]p1'!$J$324,"")</f>
        <v>39198</v>
      </c>
      <c r="S5" s="35">
        <f>IF('[1]p1'!$K$324&lt;&gt;0,'[1]p1'!$K$324,"")</f>
      </c>
    </row>
    <row r="6" spans="1:19" s="45" customFormat="1" ht="13.5" customHeight="1">
      <c r="A6" s="406" t="str">
        <f>IF('[1]p1'!$A$328&lt;&gt;0,'[1]p1'!$A$328,"")</f>
        <v>Graduação em Engenharia Química</v>
      </c>
      <c r="B6" s="379"/>
      <c r="C6" s="379"/>
      <c r="D6" s="379"/>
      <c r="E6" s="380"/>
      <c r="F6" s="406" t="str">
        <f>IF('[1]p1'!$B$329&lt;&gt;0,'[1]p1'!$B$329,"")</f>
        <v>Participação em Colegiado de Curso como membro suplente</v>
      </c>
      <c r="G6" s="379"/>
      <c r="H6" s="379"/>
      <c r="I6" s="379"/>
      <c r="J6" s="379"/>
      <c r="K6" s="379"/>
      <c r="L6" s="379"/>
      <c r="M6" s="380"/>
      <c r="N6" s="406" t="str">
        <f>IF('[1]p1'!$H$328&lt;&gt;0,'[1]p1'!$H$328,"")</f>
        <v>Port./UAME/008/2007</v>
      </c>
      <c r="O6" s="379"/>
      <c r="P6" s="379"/>
      <c r="Q6" s="380"/>
      <c r="R6" s="35">
        <f>IF('[1]p1'!$J$328&lt;&gt;0,'[1]p1'!$J$328,"")</f>
        <v>39198</v>
      </c>
      <c r="S6" s="35">
        <f>IF('[1]p1'!$K$328&lt;&gt;0,'[1]p1'!$K$328,"")</f>
      </c>
    </row>
    <row r="7" spans="1:19" s="45" customFormat="1" ht="13.5" customHeight="1">
      <c r="A7" s="382" t="str">
        <f>T('[1]p4'!$C$13:$G$13)</f>
        <v>Amauri Araújo Cruz</v>
      </c>
      <c r="B7" s="381"/>
      <c r="C7" s="381"/>
      <c r="D7" s="381"/>
      <c r="E7" s="381"/>
      <c r="F7" s="384"/>
      <c r="G7" s="387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</row>
    <row r="8" spans="1:19" s="45" customFormat="1" ht="13.5" customHeight="1">
      <c r="A8" s="406" t="str">
        <f>IF('[1]p4'!$A$324&lt;&gt;0,'[1]p4'!$A$324,"")</f>
        <v>Graduação em Engenharia Civil</v>
      </c>
      <c r="B8" s="379"/>
      <c r="C8" s="379"/>
      <c r="D8" s="379"/>
      <c r="E8" s="380"/>
      <c r="F8" s="406" t="str">
        <f>IF('[1]p4'!$B$325&lt;&gt;0,'[1]p4'!$B$325,"")</f>
        <v>Participação em Colegiado de Curso como membro titular, exceto membro nato</v>
      </c>
      <c r="G8" s="379"/>
      <c r="H8" s="379"/>
      <c r="I8" s="379"/>
      <c r="J8" s="379"/>
      <c r="K8" s="379"/>
      <c r="L8" s="379"/>
      <c r="M8" s="380"/>
      <c r="N8" s="406" t="str">
        <f>IF('[1]p4'!$H$324&lt;&gt;0,'[1]p4'!$H$324,"")</f>
        <v>Port./UAME/009/2007</v>
      </c>
      <c r="O8" s="379"/>
      <c r="P8" s="379"/>
      <c r="Q8" s="380"/>
      <c r="R8" s="35">
        <f>IF('[1]p4'!$J$324&lt;&gt;0,'[1]p4'!$J$324,"")</f>
        <v>39198</v>
      </c>
      <c r="S8" s="35">
        <f>IF('[1]p4'!$K$324&lt;&gt;0,'[1]p4'!$K$324,"")</f>
      </c>
    </row>
    <row r="9" spans="1:19" s="45" customFormat="1" ht="13.5" customHeight="1">
      <c r="A9" s="406" t="str">
        <f>IF('[1]p4'!$A$328&lt;&gt;0,'[1]p4'!$A$328,"")</f>
        <v>Graduação em Engenharia Agrícola</v>
      </c>
      <c r="B9" s="379"/>
      <c r="C9" s="379"/>
      <c r="D9" s="379"/>
      <c r="E9" s="380"/>
      <c r="F9" s="406" t="str">
        <f>IF('[1]p4'!$B$329&lt;&gt;0,'[1]p4'!$B$329,"")</f>
        <v>Participação em Colegiado de Curso como membro suplente</v>
      </c>
      <c r="G9" s="379"/>
      <c r="H9" s="379"/>
      <c r="I9" s="379"/>
      <c r="J9" s="379"/>
      <c r="K9" s="379"/>
      <c r="L9" s="379"/>
      <c r="M9" s="380"/>
      <c r="N9" s="406" t="str">
        <f>IF('[1]p4'!$H$328&lt;&gt;0,'[1]p4'!$H$328,"")</f>
        <v>Port./UAME/010/2007</v>
      </c>
      <c r="O9" s="379"/>
      <c r="P9" s="379"/>
      <c r="Q9" s="380"/>
      <c r="R9" s="35">
        <f>IF('[1]p4'!$J$328&lt;&gt;0,'[1]p4'!$J$328,"")</f>
        <v>39198</v>
      </c>
      <c r="S9" s="35">
        <f>IF('[1]p4'!$K$328&lt;&gt;0,'[1]p4'!$K$328,"")</f>
      </c>
    </row>
    <row r="10" spans="1:19" s="45" customFormat="1" ht="13.5" customHeight="1">
      <c r="A10" s="382" t="str">
        <f>T('[1]p7'!$C$13:$G$13)</f>
        <v>Antônio Pereira Brandão Júnior</v>
      </c>
      <c r="B10" s="381"/>
      <c r="C10" s="381"/>
      <c r="D10" s="381"/>
      <c r="E10" s="381"/>
      <c r="F10" s="384"/>
      <c r="G10" s="387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19" s="45" customFormat="1" ht="13.5" customHeight="1">
      <c r="A11" s="406" t="str">
        <f>IF('[1]p7'!$A$324&lt;&gt;0,'[1]p7'!$A$324,"")</f>
        <v>Graduação em Engenharia Agrícola</v>
      </c>
      <c r="B11" s="379"/>
      <c r="C11" s="379"/>
      <c r="D11" s="379"/>
      <c r="E11" s="380"/>
      <c r="F11" s="406" t="str">
        <f>IF('[1]p7'!$B$325&lt;&gt;0,'[1]p7'!$B$325,"")</f>
        <v>Participação em Colegiado de Curso como membro titular, exceto membro nato</v>
      </c>
      <c r="G11" s="379"/>
      <c r="H11" s="379"/>
      <c r="I11" s="379"/>
      <c r="J11" s="379"/>
      <c r="K11" s="379"/>
      <c r="L11" s="379"/>
      <c r="M11" s="380"/>
      <c r="N11" s="406" t="str">
        <f>IF('[1]p7'!$H$324&lt;&gt;0,'[1]p7'!$H$324,"")</f>
        <v>Port./UAME/10/2007</v>
      </c>
      <c r="O11" s="379"/>
      <c r="P11" s="379"/>
      <c r="Q11" s="380"/>
      <c r="R11" s="35">
        <f>IF('[1]p7'!$J$324&lt;&gt;0,'[1]p7'!$J$324,"")</f>
        <v>39191</v>
      </c>
      <c r="S11" s="35">
        <f>IF('[1]p7'!$K$324&lt;&gt;0,'[1]p7'!$K$324,"")</f>
      </c>
    </row>
    <row r="12" spans="1:19" s="45" customFormat="1" ht="13.5" customHeight="1">
      <c r="A12" s="406" t="str">
        <f>IF('[1]p7'!$A$328&lt;&gt;0,'[1]p7'!$A$328,"")</f>
        <v>Pós-graduação em Matemática</v>
      </c>
      <c r="B12" s="379"/>
      <c r="C12" s="379"/>
      <c r="D12" s="379"/>
      <c r="E12" s="380"/>
      <c r="F12" s="406" t="str">
        <f>IF('[1]p7'!$B$329&lt;&gt;0,'[1]p7'!$B$329,"")</f>
        <v>Participação em Colegiado de Curso como membro suplente</v>
      </c>
      <c r="G12" s="379"/>
      <c r="H12" s="379"/>
      <c r="I12" s="379"/>
      <c r="J12" s="379"/>
      <c r="K12" s="379"/>
      <c r="L12" s="379"/>
      <c r="M12" s="380"/>
      <c r="N12" s="406" t="str">
        <f>IF('[1]p7'!$H$328&lt;&gt;0,'[1]p7'!$H$328,"")</f>
        <v> Port./UAME/01/2007</v>
      </c>
      <c r="O12" s="379"/>
      <c r="P12" s="379"/>
      <c r="Q12" s="380"/>
      <c r="R12" s="35">
        <f>IF('[1]p7'!$J$328&lt;&gt;0,'[1]p7'!$J$328,"")</f>
        <v>39120</v>
      </c>
      <c r="S12" s="35">
        <f>IF('[1]p7'!$K$328&lt;&gt;0,'[1]p7'!$K$328,"")</f>
      </c>
    </row>
    <row r="13" spans="1:19" s="45" customFormat="1" ht="13.5" customHeight="1">
      <c r="A13" s="382" t="str">
        <f>T('[1]p8'!$C$13:$G$13)</f>
        <v>Aparecido Jesuino de Souza</v>
      </c>
      <c r="B13" s="381"/>
      <c r="C13" s="381"/>
      <c r="D13" s="381"/>
      <c r="E13" s="381"/>
      <c r="F13" s="384"/>
      <c r="G13" s="387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</row>
    <row r="14" spans="1:19" s="45" customFormat="1" ht="13.5" customHeight="1">
      <c r="A14" s="406" t="str">
        <f>IF('[1]p8'!$A$324&lt;&gt;0,'[1]p8'!$A$324,"")</f>
        <v>Pós-Graduação em Matemática</v>
      </c>
      <c r="B14" s="379"/>
      <c r="C14" s="379"/>
      <c r="D14" s="379"/>
      <c r="E14" s="380"/>
      <c r="F14" s="406" t="str">
        <f>IF('[1]p8'!$B$325&lt;&gt;0,'[1]p8'!$B$325,"")</f>
        <v>Participação em Colegiado de Curso como membro titular, exceto membro nato</v>
      </c>
      <c r="G14" s="379"/>
      <c r="H14" s="379"/>
      <c r="I14" s="379"/>
      <c r="J14" s="379"/>
      <c r="K14" s="379"/>
      <c r="L14" s="379"/>
      <c r="M14" s="380"/>
      <c r="N14" s="406" t="str">
        <f>IF('[1]p8'!$H$324&lt;&gt;0,'[1]p8'!$H$324,"")</f>
        <v>Port./UAME/35/2007</v>
      </c>
      <c r="O14" s="379"/>
      <c r="P14" s="379"/>
      <c r="Q14" s="380"/>
      <c r="R14" s="35">
        <f>IF('[1]p8'!$J$324&lt;&gt;0,'[1]p8'!$J$324,"")</f>
        <v>39405</v>
      </c>
      <c r="S14" s="35">
        <f>IF('[1]p8'!$K$324&lt;&gt;0,'[1]p8'!$K$324,"")</f>
      </c>
    </row>
    <row r="15" spans="1:19" s="45" customFormat="1" ht="13.5" customHeight="1">
      <c r="A15" s="382" t="str">
        <f>T('[1]p9'!$C$13:$G$13)</f>
        <v>Bianca Morelli Casalvara Caretta</v>
      </c>
      <c r="B15" s="381"/>
      <c r="C15" s="381"/>
      <c r="D15" s="381"/>
      <c r="E15" s="381"/>
      <c r="F15" s="384"/>
      <c r="G15" s="387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</row>
    <row r="16" spans="1:19" s="45" customFormat="1" ht="13.5" customHeight="1">
      <c r="A16" s="406" t="str">
        <f>IF('[1]p9'!$A$324&lt;&gt;0,'[1]p9'!$A$324,"")</f>
        <v>Pós-Graduação em Meteorologia</v>
      </c>
      <c r="B16" s="379"/>
      <c r="C16" s="379"/>
      <c r="D16" s="379"/>
      <c r="E16" s="380"/>
      <c r="F16" s="406" t="str">
        <f>IF('[1]p9'!$B$325&lt;&gt;0,'[1]p9'!$B$325,"")</f>
        <v>Participação em Colegiado de Curso como membro suplente</v>
      </c>
      <c r="G16" s="379"/>
      <c r="H16" s="379"/>
      <c r="I16" s="379"/>
      <c r="J16" s="379"/>
      <c r="K16" s="379"/>
      <c r="L16" s="379"/>
      <c r="M16" s="380"/>
      <c r="N16" s="406" t="str">
        <f>IF('[1]p9'!$H$324&lt;&gt;0,'[1]p9'!$H$324,"")</f>
        <v>Port./UAME/011/2007</v>
      </c>
      <c r="O16" s="379"/>
      <c r="P16" s="379"/>
      <c r="Q16" s="380"/>
      <c r="R16" s="35">
        <f>IF('[1]p9'!$J$324&lt;&gt;0,'[1]p9'!$J$324,"")</f>
        <v>39198</v>
      </c>
      <c r="S16" s="35">
        <f>IF('[1]p9'!$K$324&lt;&gt;0,'[1]p9'!$K$324,"")</f>
        <v>39660</v>
      </c>
    </row>
    <row r="17" spans="1:19" s="45" customFormat="1" ht="13.5" customHeight="1">
      <c r="A17" s="406" t="str">
        <f>IF('[1]p9'!$A$328&lt;&gt;0,'[1]p9'!$A$328,"")</f>
        <v>Pós-Graduação em Matemática</v>
      </c>
      <c r="B17" s="379"/>
      <c r="C17" s="379"/>
      <c r="D17" s="379"/>
      <c r="E17" s="380"/>
      <c r="F17" s="406" t="str">
        <f>IF('[1]p9'!$B$329&lt;&gt;0,'[1]p9'!$B$329,"")</f>
        <v>Participação em Colegiado de Curso como membro suplente</v>
      </c>
      <c r="G17" s="379"/>
      <c r="H17" s="379"/>
      <c r="I17" s="379"/>
      <c r="J17" s="379"/>
      <c r="K17" s="379"/>
      <c r="L17" s="379"/>
      <c r="M17" s="380"/>
      <c r="N17" s="406" t="str">
        <f>IF('[1]p9'!$H$328&lt;&gt;0,'[1]p9'!$H$328,"")</f>
        <v>Port./UAME/036/2007</v>
      </c>
      <c r="O17" s="379"/>
      <c r="P17" s="379"/>
      <c r="Q17" s="380"/>
      <c r="R17" s="35">
        <f>IF('[1]p9'!$J$328&lt;&gt;0,'[1]p9'!$J$328,"")</f>
        <v>39405</v>
      </c>
      <c r="S17" s="35">
        <f>IF('[1]p9'!$K$328&lt;&gt;0,'[1]p9'!$K$328,"")</f>
        <v>39660</v>
      </c>
    </row>
    <row r="18" spans="1:19" s="45" customFormat="1" ht="13.5" customHeight="1">
      <c r="A18" s="382" t="str">
        <f>T('[1]p12'!$C$13:$G$13)</f>
        <v>Daniel Cordeiro de Morais Filho</v>
      </c>
      <c r="B18" s="381"/>
      <c r="C18" s="381"/>
      <c r="D18" s="381"/>
      <c r="E18" s="381"/>
      <c r="F18" s="384"/>
      <c r="G18" s="387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</row>
    <row r="19" spans="1:19" s="45" customFormat="1" ht="13.5" customHeight="1">
      <c r="A19" s="406" t="str">
        <f>IF('[1]p12'!$A$324&lt;&gt;0,'[1]p12'!$A$324,"")</f>
        <v>Graduação em Matemática </v>
      </c>
      <c r="B19" s="379"/>
      <c r="C19" s="379"/>
      <c r="D19" s="379"/>
      <c r="E19" s="380"/>
      <c r="F19" s="406" t="str">
        <f>IF('[1]p12'!$B$325&lt;&gt;0,'[1]p12'!$B$325,"")</f>
        <v>Participação em Colegiado de Curso como membro titular, exceto membro nato</v>
      </c>
      <c r="G19" s="379"/>
      <c r="H19" s="379"/>
      <c r="I19" s="379"/>
      <c r="J19" s="379"/>
      <c r="K19" s="379"/>
      <c r="L19" s="379"/>
      <c r="M19" s="380"/>
      <c r="N19" s="406" t="str">
        <f>IF('[1]p12'!$H$324&lt;&gt;0,'[1]p12'!$H$324,"")</f>
        <v>Port./UAME/023/2007</v>
      </c>
      <c r="O19" s="379"/>
      <c r="P19" s="379"/>
      <c r="Q19" s="380"/>
      <c r="R19" s="35">
        <f>IF('[1]p12'!$J$324&lt;&gt;0,'[1]p12'!$J$324,"")</f>
        <v>39198</v>
      </c>
      <c r="S19" s="35">
        <f>IF('[1]p12'!$K$324&lt;&gt;0,'[1]p12'!$K$324,"")</f>
      </c>
    </row>
    <row r="20" spans="1:19" s="45" customFormat="1" ht="13.5" customHeight="1">
      <c r="A20" s="406" t="str">
        <f>IF('[1]p12'!$A$328&lt;&gt;0,'[1]p12'!$A$328,"")</f>
        <v>Pós-Graduação em Matemática</v>
      </c>
      <c r="B20" s="379"/>
      <c r="C20" s="379"/>
      <c r="D20" s="379"/>
      <c r="E20" s="380"/>
      <c r="F20" s="406" t="str">
        <f>IF('[1]p12'!$B$329&lt;&gt;0,'[1]p12'!$B$329,"")</f>
        <v>Participação em conselhos superiores como suplente</v>
      </c>
      <c r="G20" s="379"/>
      <c r="H20" s="379"/>
      <c r="I20" s="379"/>
      <c r="J20" s="379"/>
      <c r="K20" s="379"/>
      <c r="L20" s="379"/>
      <c r="M20" s="380"/>
      <c r="N20" s="406" t="str">
        <f>IF('[1]p12'!$H$328&lt;&gt;0,'[1]p12'!$H$328,"")</f>
        <v>Port./UMAE/026/2007</v>
      </c>
      <c r="O20" s="379"/>
      <c r="P20" s="379"/>
      <c r="Q20" s="380"/>
      <c r="R20" s="35">
        <f>IF('[1]p12'!$J$328&lt;&gt;0,'[1]p12'!$J$328,"")</f>
        <v>39209</v>
      </c>
      <c r="S20" s="35">
        <f>IF('[1]p12'!$K$328&lt;&gt;0,'[1]p12'!$K$328,"")</f>
      </c>
    </row>
    <row r="21" spans="1:19" s="45" customFormat="1" ht="13.5" customHeight="1">
      <c r="A21" s="382" t="str">
        <f>T('[1]p13'!$C$13:$G$13)</f>
        <v>Florence Ayres Campello de Oliveira</v>
      </c>
      <c r="B21" s="381"/>
      <c r="C21" s="381"/>
      <c r="D21" s="381"/>
      <c r="E21" s="381"/>
      <c r="F21" s="384"/>
      <c r="G21" s="387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</row>
    <row r="22" spans="1:19" s="45" customFormat="1" ht="13.5" customHeight="1">
      <c r="A22" s="406" t="str">
        <f>IF('[1]p13'!$A$324&lt;&gt;0,'[1]p13'!$A$324,"")</f>
        <v>Graduação em Engenharia Química</v>
      </c>
      <c r="B22" s="379"/>
      <c r="C22" s="379"/>
      <c r="D22" s="379"/>
      <c r="E22" s="380"/>
      <c r="F22" s="406" t="str">
        <f>IF('[1]p13'!$B$325&lt;&gt;0,'[1]p13'!$B$325,"")</f>
        <v>Participação em Colegiado de Curso como membro titular, exceto membro nato</v>
      </c>
      <c r="G22" s="379"/>
      <c r="H22" s="379"/>
      <c r="I22" s="379"/>
      <c r="J22" s="379"/>
      <c r="K22" s="379"/>
      <c r="L22" s="379"/>
      <c r="M22" s="380"/>
      <c r="N22" s="406" t="str">
        <f>IF('[1]p13'!$H$324&lt;&gt;0,'[1]p13'!$H$324,"")</f>
        <v>Port./UAME/008/2007</v>
      </c>
      <c r="O22" s="379"/>
      <c r="P22" s="379"/>
      <c r="Q22" s="380"/>
      <c r="R22" s="35">
        <f>IF('[1]p13'!$J$324&lt;&gt;0,'[1]p13'!$J$324,"")</f>
        <v>39198</v>
      </c>
      <c r="S22" s="35">
        <f>IF('[1]p13'!$K$324&lt;&gt;0,'[1]p13'!$K$324,"")</f>
      </c>
    </row>
    <row r="23" spans="1:19" s="45" customFormat="1" ht="13.5" customHeight="1">
      <c r="A23" s="406" t="str">
        <f>IF('[1]p13'!$A$328&lt;&gt;0,'[1]p13'!$A$328,"")</f>
        <v>Graduação em Desenho Industrial</v>
      </c>
      <c r="B23" s="379"/>
      <c r="C23" s="379"/>
      <c r="D23" s="379"/>
      <c r="E23" s="380"/>
      <c r="F23" s="406" t="str">
        <f>IF('[1]p13'!$B$329&lt;&gt;0,'[1]p13'!$B$329,"")</f>
        <v>Participação em Colegiado de Curso como membro suplente</v>
      </c>
      <c r="G23" s="379"/>
      <c r="H23" s="379"/>
      <c r="I23" s="379"/>
      <c r="J23" s="379"/>
      <c r="K23" s="379"/>
      <c r="L23" s="379"/>
      <c r="M23" s="380"/>
      <c r="N23" s="406" t="str">
        <f>IF('[1]p13'!$H$328&lt;&gt;0,'[1]p13'!$H$328,"")</f>
        <v>Port./UAME/012/2007</v>
      </c>
      <c r="O23" s="379"/>
      <c r="P23" s="379"/>
      <c r="Q23" s="380"/>
      <c r="R23" s="35">
        <f>IF('[1]p13'!$J$328&lt;&gt;0,'[1]p13'!$J$328,"")</f>
        <v>39198</v>
      </c>
      <c r="S23" s="35">
        <f>IF('[1]p13'!$K$328&lt;&gt;0,'[1]p13'!$K$328,"")</f>
      </c>
    </row>
    <row r="24" spans="1:19" s="45" customFormat="1" ht="13.5" customHeight="1">
      <c r="A24" s="382" t="str">
        <f>T('[1]p14'!$C$13:$G$13)</f>
        <v>Francisco Antônio Morais de Souza</v>
      </c>
      <c r="B24" s="381"/>
      <c r="C24" s="381"/>
      <c r="D24" s="381"/>
      <c r="E24" s="381"/>
      <c r="F24" s="384"/>
      <c r="G24" s="387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</row>
    <row r="25" spans="1:19" s="45" customFormat="1" ht="13.5" customHeight="1">
      <c r="A25" s="406" t="str">
        <f>IF('[1]p14'!$A$324&lt;&gt;0,'[1]p14'!$A$324,"")</f>
        <v>Graduação em Engenharia de Materiais</v>
      </c>
      <c r="B25" s="379"/>
      <c r="C25" s="379"/>
      <c r="D25" s="379"/>
      <c r="E25" s="380"/>
      <c r="F25" s="406" t="str">
        <f>IF('[1]p14'!$B$325&lt;&gt;0,'[1]p14'!$B$325,"")</f>
        <v>Participação em conselhos superiores como membro titular, exceto membro nato</v>
      </c>
      <c r="G25" s="379"/>
      <c r="H25" s="379"/>
      <c r="I25" s="379"/>
      <c r="J25" s="379"/>
      <c r="K25" s="379"/>
      <c r="L25" s="379"/>
      <c r="M25" s="380"/>
      <c r="N25" s="406" t="str">
        <f>IF('[1]p14'!$H$324&lt;&gt;0,'[1]p14'!$H$324,"")</f>
        <v>Port./DCCT/024/2006</v>
      </c>
      <c r="O25" s="379"/>
      <c r="P25" s="379"/>
      <c r="Q25" s="380"/>
      <c r="R25" s="35">
        <f>IF('[1]p14'!$J$324&lt;&gt;0,'[1]p14'!$J$324,"")</f>
        <v>38803</v>
      </c>
      <c r="S25" s="35">
        <f>IF('[1]p14'!$K$324&lt;&gt;0,'[1]p14'!$K$324,"")</f>
      </c>
    </row>
    <row r="26" spans="1:19" s="45" customFormat="1" ht="13.5" customHeight="1">
      <c r="A26" s="382" t="str">
        <f>T('[1]p15'!$C$13:$G$13)</f>
        <v>Francisco Júlio Sobreira de A. Corrêa</v>
      </c>
      <c r="B26" s="381"/>
      <c r="C26" s="381"/>
      <c r="D26" s="381"/>
      <c r="E26" s="381"/>
      <c r="F26" s="384"/>
      <c r="G26" s="387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</row>
    <row r="27" spans="1:19" s="45" customFormat="1" ht="13.5" customHeight="1">
      <c r="A27" s="406" t="str">
        <f>IF('[1]p15'!$A$324&lt;&gt;0,'[1]p15'!$A$324,"")</f>
        <v>Pós-Graduação em Matemática</v>
      </c>
      <c r="B27" s="379"/>
      <c r="C27" s="379"/>
      <c r="D27" s="379"/>
      <c r="E27" s="380"/>
      <c r="F27" s="406" t="str">
        <f>IF('[1]p15'!$B$325&lt;&gt;0,'[1]p15'!$B$325,"")</f>
        <v>Participação em Colegiado de Curso como membro titular, exceto membro nato</v>
      </c>
      <c r="G27" s="379"/>
      <c r="H27" s="379"/>
      <c r="I27" s="379"/>
      <c r="J27" s="379"/>
      <c r="K27" s="379"/>
      <c r="L27" s="379"/>
      <c r="M27" s="380"/>
      <c r="N27" s="406">
        <f>IF('[1]p15'!$H$324&lt;&gt;0,'[1]p15'!$H$324,"")</f>
      </c>
      <c r="O27" s="379"/>
      <c r="P27" s="379"/>
      <c r="Q27" s="380"/>
      <c r="R27" s="35">
        <f>IF('[1]p15'!$J$324&lt;&gt;0,'[1]p15'!$J$324,"")</f>
        <v>39448</v>
      </c>
      <c r="S27" s="35">
        <f>IF('[1]p15'!$K$324&lt;&gt;0,'[1]p15'!$K$324,"")</f>
      </c>
    </row>
    <row r="28" spans="1:19" s="45" customFormat="1" ht="13.5" customHeight="1">
      <c r="A28" s="382" t="str">
        <f>T('[1]p16'!$C$13:$G$13)</f>
        <v>Gilberto da Silva Matos</v>
      </c>
      <c r="B28" s="381"/>
      <c r="C28" s="381"/>
      <c r="D28" s="381"/>
      <c r="E28" s="381"/>
      <c r="F28" s="384"/>
      <c r="G28" s="387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</row>
    <row r="29" spans="1:19" s="45" customFormat="1" ht="13.5" customHeight="1">
      <c r="A29" s="406" t="str">
        <f>IF('[1]p16'!$A$324&lt;&gt;0,'[1]p16'!$A$324,"")</f>
        <v>Membro titular do colegiado do curso da graduação da ciência da computação</v>
      </c>
      <c r="B29" s="379"/>
      <c r="C29" s="379"/>
      <c r="D29" s="379"/>
      <c r="E29" s="380"/>
      <c r="F29" s="406" t="str">
        <f>IF('[1]p16'!$B$325&lt;&gt;0,'[1]p16'!$B$325,"")</f>
        <v>Participação em Colegiado de Curso como membro titular, exceto membro nato</v>
      </c>
      <c r="G29" s="379"/>
      <c r="H29" s="379"/>
      <c r="I29" s="379"/>
      <c r="J29" s="379"/>
      <c r="K29" s="379"/>
      <c r="L29" s="379"/>
      <c r="M29" s="380"/>
      <c r="N29" s="406" t="str">
        <f>IF('[1]p16'!$H$324&lt;&gt;0,'[1]p16'!$H$324,"")</f>
        <v>Port. 012/2008/UAME/CCT/UFCG</v>
      </c>
      <c r="O29" s="379"/>
      <c r="P29" s="379"/>
      <c r="Q29" s="380"/>
      <c r="R29" s="35">
        <f>IF('[1]p16'!$J$324&lt;&gt;0,'[1]p16'!$J$324,"")</f>
        <v>39567</v>
      </c>
      <c r="S29" s="35">
        <f>IF('[1]p16'!$K$324&lt;&gt;0,'[1]p16'!$K$324,"")</f>
        <v>39932</v>
      </c>
    </row>
    <row r="30" spans="1:19" s="45" customFormat="1" ht="13.5" customHeight="1">
      <c r="A30" s="382" t="str">
        <f>T('[1]p18'!$C$13:$G$13)</f>
        <v>Izabel Maria Barbosa de Albuquerque</v>
      </c>
      <c r="B30" s="381"/>
      <c r="C30" s="381"/>
      <c r="D30" s="381"/>
      <c r="E30" s="381"/>
      <c r="F30" s="384"/>
      <c r="G30" s="387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19" s="45" customFormat="1" ht="13.5" customHeight="1">
      <c r="A31" s="406" t="str">
        <f>IF('[1]p18'!$A$324&lt;&gt;0,'[1]p18'!$A$324,"")</f>
        <v>Graduação em Economia</v>
      </c>
      <c r="B31" s="379"/>
      <c r="C31" s="379"/>
      <c r="D31" s="379"/>
      <c r="E31" s="380"/>
      <c r="F31" s="406" t="str">
        <f>IF('[1]p18'!$B$325&lt;&gt;0,'[1]p18'!$B$325,"")</f>
        <v>Participação em Colegiado de Curso como membro titular, exceto membro nato</v>
      </c>
      <c r="G31" s="379"/>
      <c r="H31" s="379"/>
      <c r="I31" s="379"/>
      <c r="J31" s="379"/>
      <c r="K31" s="379"/>
      <c r="L31" s="379"/>
      <c r="M31" s="380"/>
      <c r="N31" s="406" t="str">
        <f>IF('[1]p18'!$H$324&lt;&gt;0,'[1]p18'!$H$324,"")</f>
        <v>Port./UAME/013/2007</v>
      </c>
      <c r="O31" s="379"/>
      <c r="P31" s="379"/>
      <c r="Q31" s="380"/>
      <c r="R31" s="35">
        <f>IF('[1]p18'!$J$324&lt;&gt;0,'[1]p18'!$J$324,"")</f>
        <v>39198</v>
      </c>
      <c r="S31" s="35">
        <f>IF('[1]p18'!$K$324&lt;&gt;0,'[1]p18'!$K$324,"")</f>
      </c>
    </row>
    <row r="32" spans="1:19" s="45" customFormat="1" ht="13.5" customHeight="1">
      <c r="A32" s="406" t="str">
        <f>IF('[1]p18'!$A$328&lt;&gt;0,'[1]p18'!$A$328,"")</f>
        <v>Graduação em Administração</v>
      </c>
      <c r="B32" s="379"/>
      <c r="C32" s="379"/>
      <c r="D32" s="379"/>
      <c r="E32" s="380"/>
      <c r="F32" s="406" t="str">
        <f>IF('[1]p18'!$B$329&lt;&gt;0,'[1]p18'!$B$329,"")</f>
        <v>Participação em Colegiado de Curso como membro suplente</v>
      </c>
      <c r="G32" s="379"/>
      <c r="H32" s="379"/>
      <c r="I32" s="379"/>
      <c r="J32" s="379"/>
      <c r="K32" s="379"/>
      <c r="L32" s="379"/>
      <c r="M32" s="380"/>
      <c r="N32" s="406" t="str">
        <f>IF('[1]p18'!$H$328&lt;&gt;0,'[1]p18'!$H$328,"")</f>
        <v>Port./UAME/019/2007</v>
      </c>
      <c r="O32" s="379"/>
      <c r="P32" s="379"/>
      <c r="Q32" s="380"/>
      <c r="R32" s="35">
        <f>IF('[1]p18'!$J$328&lt;&gt;0,'[1]p18'!$J$328,"")</f>
        <v>39198</v>
      </c>
      <c r="S32" s="35">
        <f>IF('[1]p18'!$K$328&lt;&gt;0,'[1]p18'!$K$328,"")</f>
      </c>
    </row>
    <row r="33" spans="1:19" s="45" customFormat="1" ht="13.5" customHeight="1">
      <c r="A33" s="382" t="str">
        <f>T('[1]p48'!$C$13:$G$13)</f>
        <v>Jaime Alves Barbosa Sobrinho</v>
      </c>
      <c r="B33" s="381"/>
      <c r="C33" s="381"/>
      <c r="D33" s="381"/>
      <c r="E33" s="381"/>
      <c r="F33" s="384"/>
      <c r="G33" s="387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</row>
    <row r="34" spans="1:19" s="45" customFormat="1" ht="13.5" customHeight="1">
      <c r="A34" s="406" t="str">
        <f>IF('[1]p48'!$A$324&lt;&gt;0,'[1]p48'!$A$324,"")</f>
        <v>Representante do CCT na Câmara de Gestão Administrativa-Financeira</v>
      </c>
      <c r="B34" s="379"/>
      <c r="C34" s="379"/>
      <c r="D34" s="379"/>
      <c r="E34" s="380"/>
      <c r="F34" s="406" t="str">
        <f>IF('[1]p48'!$B$325&lt;&gt;0,'[1]p48'!$B$325,"")</f>
        <v>Participação em conselhos superiores como membro titular, exceto membro nato</v>
      </c>
      <c r="G34" s="379"/>
      <c r="H34" s="379"/>
      <c r="I34" s="379"/>
      <c r="J34" s="379"/>
      <c r="K34" s="379"/>
      <c r="L34" s="379"/>
      <c r="M34" s="380"/>
      <c r="N34" s="406" t="str">
        <f>IF('[1]p48'!$H$324&lt;&gt;0,'[1]p48'!$H$324,"")</f>
        <v>DCCT/N. 067/2008</v>
      </c>
      <c r="O34" s="379"/>
      <c r="P34" s="379"/>
      <c r="Q34" s="380"/>
      <c r="R34" s="35">
        <f>IF('[1]p48'!$J$324&lt;&gt;0,'[1]p48'!$J$324,"")</f>
        <v>39612</v>
      </c>
      <c r="S34" s="35">
        <f>IF('[1]p48'!$K$324&lt;&gt;0,'[1]p48'!$K$324,"")</f>
        <v>40341</v>
      </c>
    </row>
    <row r="35" spans="1:19" s="45" customFormat="1" ht="13.5" customHeight="1">
      <c r="A35" s="406" t="str">
        <f>IF('[1]p48'!$A$328&lt;&gt;0,'[1]p48'!$A$328,"")</f>
        <v>Representante da CSGAF no Colegiado Pleno do CONSUNI</v>
      </c>
      <c r="B35" s="379"/>
      <c r="C35" s="379"/>
      <c r="D35" s="379"/>
      <c r="E35" s="380"/>
      <c r="F35" s="406" t="str">
        <f>IF('[1]p48'!$B$329&lt;&gt;0,'[1]p48'!$B$329,"")</f>
        <v>Participação em conselhos superiores como membro titular, exceto membro nato</v>
      </c>
      <c r="G35" s="379"/>
      <c r="H35" s="379"/>
      <c r="I35" s="379"/>
      <c r="J35" s="379"/>
      <c r="K35" s="379"/>
      <c r="L35" s="379"/>
      <c r="M35" s="380"/>
      <c r="N35" s="406">
        <f>IF('[1]p48'!$H$328&lt;&gt;0,'[1]p48'!$H$328,"")</f>
      </c>
      <c r="O35" s="379"/>
      <c r="P35" s="379"/>
      <c r="Q35" s="380"/>
      <c r="R35" s="35">
        <f>IF('[1]p48'!$J$328&lt;&gt;0,'[1]p48'!$J$328,"")</f>
        <v>38838</v>
      </c>
      <c r="S35" s="35">
        <f>IF('[1]p48'!$K$328&lt;&gt;0,'[1]p48'!$K$328,"")</f>
      </c>
    </row>
    <row r="36" spans="1:19" s="45" customFormat="1" ht="13.5" customHeight="1">
      <c r="A36" s="382" t="str">
        <f>T('[1]p19'!$C$13:$G$13)</f>
        <v>Jesualdo Gomes das Chagas</v>
      </c>
      <c r="B36" s="381"/>
      <c r="C36" s="381"/>
      <c r="D36" s="381"/>
      <c r="E36" s="381"/>
      <c r="F36" s="384"/>
      <c r="G36" s="387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</row>
    <row r="37" spans="1:19" s="45" customFormat="1" ht="13.5" customHeight="1">
      <c r="A37" s="406" t="str">
        <f>IF('[1]p19'!$A$324&lt;&gt;0,'[1]p19'!$A$324,"")</f>
        <v>Membro Titular do Curso de Graduação em Engenharia de Materias</v>
      </c>
      <c r="B37" s="379"/>
      <c r="C37" s="379"/>
      <c r="D37" s="379"/>
      <c r="E37" s="380"/>
      <c r="F37" s="406" t="str">
        <f>IF('[1]p19'!$B$325&lt;&gt;0,'[1]p19'!$B$325,"")</f>
        <v>Participação em Colegiado de Curso como membro titular, exceto membro nato</v>
      </c>
      <c r="G37" s="379"/>
      <c r="H37" s="379"/>
      <c r="I37" s="379"/>
      <c r="J37" s="379"/>
      <c r="K37" s="379"/>
      <c r="L37" s="379"/>
      <c r="M37" s="380"/>
      <c r="N37" s="406">
        <f>IF('[1]p19'!$H$324&lt;&gt;0,'[1]p19'!$H$324,"")</f>
      </c>
      <c r="O37" s="379"/>
      <c r="P37" s="379"/>
      <c r="Q37" s="380"/>
      <c r="R37" s="35">
        <f>IF('[1]p19'!$J$324&lt;&gt;0,'[1]p19'!$J$324,"")</f>
      </c>
      <c r="S37" s="35">
        <f>IF('[1]p19'!$K$324&lt;&gt;0,'[1]p19'!$K$324,"")</f>
      </c>
    </row>
    <row r="38" spans="1:19" s="45" customFormat="1" ht="13.5" customHeight="1">
      <c r="A38" s="406" t="str">
        <f>IF('[1]p19'!$A$328&lt;&gt;0,'[1]p19'!$A$328,"")</f>
        <v>Membro suplente do Curso de Graduação em Engenharia Mecânica</v>
      </c>
      <c r="B38" s="379"/>
      <c r="C38" s="379"/>
      <c r="D38" s="379"/>
      <c r="E38" s="380"/>
      <c r="F38" s="406" t="str">
        <f>IF('[1]p19'!$B$329&lt;&gt;0,'[1]p19'!$B$329,"")</f>
        <v>Participação em Colegiado de Curso como membro suplente</v>
      </c>
      <c r="G38" s="379"/>
      <c r="H38" s="379"/>
      <c r="I38" s="379"/>
      <c r="J38" s="379"/>
      <c r="K38" s="379"/>
      <c r="L38" s="379"/>
      <c r="M38" s="380"/>
      <c r="N38" s="406">
        <f>IF('[1]p19'!$H$328&lt;&gt;0,'[1]p19'!$H$328,"")</f>
      </c>
      <c r="O38" s="379"/>
      <c r="P38" s="379"/>
      <c r="Q38" s="380"/>
      <c r="R38" s="35">
        <f>IF('[1]p19'!$J$328&lt;&gt;0,'[1]p19'!$J$328,"")</f>
      </c>
      <c r="S38" s="35">
        <f>IF('[1]p19'!$K$328&lt;&gt;0,'[1]p19'!$K$328,"")</f>
      </c>
    </row>
    <row r="39" spans="1:19" s="45" customFormat="1" ht="13.5" customHeight="1">
      <c r="A39" s="382" t="str">
        <f>T('[1]p20'!$C$13:$G$13)</f>
        <v>José de Arimatéia Fernandes</v>
      </c>
      <c r="B39" s="381"/>
      <c r="C39" s="381"/>
      <c r="D39" s="381"/>
      <c r="E39" s="381"/>
      <c r="F39" s="384"/>
      <c r="G39" s="387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</row>
    <row r="40" spans="1:19" s="45" customFormat="1" ht="13.5" customHeight="1">
      <c r="A40" s="406" t="str">
        <f>IF('[1]p20'!$A$324&lt;&gt;0,'[1]p20'!$A$324,"")</f>
        <v>Pós-Graduação em Meteorologia</v>
      </c>
      <c r="B40" s="379"/>
      <c r="C40" s="379"/>
      <c r="D40" s="379"/>
      <c r="E40" s="380"/>
      <c r="F40" s="406" t="str">
        <f>IF('[1]p20'!$B$325&lt;&gt;0,'[1]p20'!$B$325,"")</f>
        <v>Participação em conselhos superiores como membro titular, exceto membro nato</v>
      </c>
      <c r="G40" s="379"/>
      <c r="H40" s="379"/>
      <c r="I40" s="379"/>
      <c r="J40" s="379"/>
      <c r="K40" s="379"/>
      <c r="L40" s="379"/>
      <c r="M40" s="380"/>
      <c r="N40" s="406" t="str">
        <f>IF('[1]p20'!$H$324&lt;&gt;0,'[1]p20'!$H$324,"")</f>
        <v>Port./UAME/011/2007</v>
      </c>
      <c r="O40" s="379"/>
      <c r="P40" s="379"/>
      <c r="Q40" s="380"/>
      <c r="R40" s="35">
        <f>IF('[1]p20'!$J$324&lt;&gt;0,'[1]p20'!$J$324,"")</f>
        <v>39198</v>
      </c>
      <c r="S40" s="35">
        <f>IF('[1]p20'!$K$324&lt;&gt;0,'[1]p20'!$K$324,"")</f>
      </c>
    </row>
    <row r="41" spans="1:19" s="45" customFormat="1" ht="13.5" customHeight="1">
      <c r="A41" s="382" t="str">
        <f>T('[1]p22'!$C$13:$G$13)</f>
        <v>José Lindomberg Possiano Barreiro</v>
      </c>
      <c r="B41" s="381"/>
      <c r="C41" s="381"/>
      <c r="D41" s="381"/>
      <c r="E41" s="381"/>
      <c r="F41" s="384"/>
      <c r="G41" s="387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</row>
    <row r="42" spans="1:19" s="45" customFormat="1" ht="13.5" customHeight="1">
      <c r="A42" s="406" t="str">
        <f>IF('[1]p22'!$A$324&lt;&gt;0,'[1]p22'!$A$324,"")</f>
        <v>Graduação em Desenho Industrial</v>
      </c>
      <c r="B42" s="379"/>
      <c r="C42" s="379"/>
      <c r="D42" s="379"/>
      <c r="E42" s="380"/>
      <c r="F42" s="406" t="str">
        <f>IF('[1]p22'!$B$325&lt;&gt;0,'[1]p22'!$B$325,"")</f>
        <v>Participação em Colegiado de Curso como membro titular, exceto membro nato</v>
      </c>
      <c r="G42" s="379"/>
      <c r="H42" s="379"/>
      <c r="I42" s="379"/>
      <c r="J42" s="379"/>
      <c r="K42" s="379"/>
      <c r="L42" s="379"/>
      <c r="M42" s="380"/>
      <c r="N42" s="406" t="str">
        <f>IF('[1]p22'!$H$324&lt;&gt;0,'[1]p22'!$H$324,"")</f>
        <v>Port./012/2007/UAME/CCT/UFCG</v>
      </c>
      <c r="O42" s="379"/>
      <c r="P42" s="379"/>
      <c r="Q42" s="380"/>
      <c r="R42" s="35">
        <f>IF('[1]p22'!$J$324&lt;&gt;0,'[1]p22'!$J$324,"")</f>
        <v>39191</v>
      </c>
      <c r="S42" s="35">
        <f>IF('[1]p22'!$K$324&lt;&gt;0,'[1]p22'!$K$324,"")</f>
      </c>
    </row>
    <row r="43" spans="1:19" s="45" customFormat="1" ht="13.5" customHeight="1">
      <c r="A43" s="382" t="str">
        <f>T('[1]p23'!$C$13:$G$13)</f>
        <v>José Luiz Neto</v>
      </c>
      <c r="B43" s="381"/>
      <c r="C43" s="381"/>
      <c r="D43" s="381"/>
      <c r="E43" s="381"/>
      <c r="F43" s="384"/>
      <c r="G43" s="387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1:19" s="45" customFormat="1" ht="13.5" customHeight="1">
      <c r="A44" s="406" t="str">
        <f>IF('[1]p23'!$A$324&lt;&gt;0,'[1]p23'!$A$324,"")</f>
        <v>Graduação em Meteorologia</v>
      </c>
      <c r="B44" s="379"/>
      <c r="C44" s="379"/>
      <c r="D44" s="379"/>
      <c r="E44" s="380"/>
      <c r="F44" s="406" t="str">
        <f>IF('[1]p23'!$B$325&lt;&gt;0,'[1]p23'!$B$325,"")</f>
        <v>Participação em Colegiado de Curso como membro titular, exceto membro nato</v>
      </c>
      <c r="G44" s="379"/>
      <c r="H44" s="379"/>
      <c r="I44" s="379"/>
      <c r="J44" s="379"/>
      <c r="K44" s="379"/>
      <c r="L44" s="379"/>
      <c r="M44" s="380"/>
      <c r="N44" s="406" t="str">
        <f>IF('[1]p23'!$H$324&lt;&gt;0,'[1]p23'!$H$324,"")</f>
        <v>Port./014/UAME/2007</v>
      </c>
      <c r="O44" s="379"/>
      <c r="P44" s="379"/>
      <c r="Q44" s="380"/>
      <c r="R44" s="35">
        <f>IF('[1]p23'!$J$324&lt;&gt;0,'[1]p23'!$J$324,"")</f>
        <v>39198</v>
      </c>
      <c r="S44" s="35">
        <f>IF('[1]p23'!$K$324&lt;&gt;0,'[1]p23'!$K$324,"")</f>
      </c>
    </row>
    <row r="45" spans="1:19" s="45" customFormat="1" ht="13.5" customHeight="1">
      <c r="A45" s="406" t="str">
        <f>IF('[1]p23'!$A$328&lt;&gt;0,'[1]p23'!$A$328,"")</f>
        <v>Bacharelado em Física</v>
      </c>
      <c r="B45" s="379"/>
      <c r="C45" s="379"/>
      <c r="D45" s="379"/>
      <c r="E45" s="380"/>
      <c r="F45" s="406" t="str">
        <f>IF('[1]p23'!$B$329&lt;&gt;0,'[1]p23'!$B$329,"")</f>
        <v>Participação em Colegiado de Curso como membro suplente</v>
      </c>
      <c r="G45" s="379"/>
      <c r="H45" s="379"/>
      <c r="I45" s="379"/>
      <c r="J45" s="379"/>
      <c r="K45" s="379"/>
      <c r="L45" s="379"/>
      <c r="M45" s="380"/>
      <c r="N45" s="406" t="str">
        <f>IF('[1]p23'!$H$328&lt;&gt;0,'[1]p23'!$H$328,"")</f>
        <v>Port./015/UAME/2007</v>
      </c>
      <c r="O45" s="379"/>
      <c r="P45" s="379"/>
      <c r="Q45" s="380"/>
      <c r="R45" s="35">
        <f>IF('[1]p23'!$J$328&lt;&gt;0,'[1]p23'!$J$328,"")</f>
        <v>39198</v>
      </c>
      <c r="S45" s="35">
        <f>IF('[1]p23'!$K$328&lt;&gt;0,'[1]p23'!$K$328,"")</f>
      </c>
    </row>
    <row r="46" spans="1:19" s="45" customFormat="1" ht="13.5" customHeight="1">
      <c r="A46" s="382" t="str">
        <f>T('[1]p24'!$C$13:$G$13)</f>
        <v>Luiz Mendes Albuquerque Neto</v>
      </c>
      <c r="B46" s="381"/>
      <c r="C46" s="381"/>
      <c r="D46" s="381"/>
      <c r="E46" s="381"/>
      <c r="F46" s="384"/>
      <c r="G46" s="387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</row>
    <row r="47" spans="1:19" s="45" customFormat="1" ht="13.5" customHeight="1">
      <c r="A47" s="406" t="str">
        <f>IF('[1]p24'!$A$324&lt;&gt;0,'[1]p24'!$A$324,"")</f>
        <v>Bacharelado em Física</v>
      </c>
      <c r="B47" s="379"/>
      <c r="C47" s="379"/>
      <c r="D47" s="379"/>
      <c r="E47" s="380"/>
      <c r="F47" s="406" t="str">
        <f>IF('[1]p24'!$B$325&lt;&gt;0,'[1]p24'!$B$325,"")</f>
        <v>Participação em Colegiado de Curso como membro titular, exceto membro nato</v>
      </c>
      <c r="G47" s="379"/>
      <c r="H47" s="379"/>
      <c r="I47" s="379"/>
      <c r="J47" s="379"/>
      <c r="K47" s="379"/>
      <c r="L47" s="379"/>
      <c r="M47" s="380"/>
      <c r="N47" s="406" t="str">
        <f>IF('[1]p24'!$H$324&lt;&gt;0,'[1]p24'!$H$324,"")</f>
        <v>Port./UAME/015/2007</v>
      </c>
      <c r="O47" s="379"/>
      <c r="P47" s="379"/>
      <c r="Q47" s="380"/>
      <c r="R47" s="35">
        <f>IF('[1]p24'!$J$324&lt;&gt;0,'[1]p24'!$J$324,"")</f>
        <v>39198</v>
      </c>
      <c r="S47" s="35">
        <f>IF('[1]p24'!$K$324&lt;&gt;0,'[1]p24'!$K$324,"")</f>
      </c>
    </row>
    <row r="48" spans="1:19" s="45" customFormat="1" ht="13.5" customHeight="1">
      <c r="A48" s="406" t="str">
        <f>IF('[1]p24'!$A$328&lt;&gt;0,'[1]p24'!$A$328,"")</f>
        <v>Graduação em Engenharia Elétrica</v>
      </c>
      <c r="B48" s="379"/>
      <c r="C48" s="379"/>
      <c r="D48" s="379"/>
      <c r="E48" s="380"/>
      <c r="F48" s="406" t="str">
        <f>IF('[1]p24'!$B$329&lt;&gt;0,'[1]p24'!$B$329,"")</f>
        <v>Participação em Colegiado de Curso como membro suplente</v>
      </c>
      <c r="G48" s="379"/>
      <c r="H48" s="379"/>
      <c r="I48" s="379"/>
      <c r="J48" s="379"/>
      <c r="K48" s="379"/>
      <c r="L48" s="379"/>
      <c r="M48" s="380"/>
      <c r="N48" s="406" t="str">
        <f>IF('[1]p24'!$H$328&lt;&gt;0,'[1]p24'!$H$328,"")</f>
        <v>Port./UAME/016/2007</v>
      </c>
      <c r="O48" s="379"/>
      <c r="P48" s="379"/>
      <c r="Q48" s="380"/>
      <c r="R48" s="35">
        <f>IF('[1]p24'!$J$328&lt;&gt;0,'[1]p24'!$J$328,"")</f>
        <v>39198</v>
      </c>
      <c r="S48" s="35">
        <f>IF('[1]p24'!$K$328&lt;&gt;0,'[1]p24'!$K$328,"")</f>
      </c>
    </row>
    <row r="49" spans="1:19" s="45" customFormat="1" ht="13.5" customHeight="1">
      <c r="A49" s="382" t="str">
        <f>T('[1]p25'!$C$13:$G$13)</f>
        <v>Marcelo Carvalho Ferreira</v>
      </c>
      <c r="B49" s="381"/>
      <c r="C49" s="381"/>
      <c r="D49" s="381"/>
      <c r="E49" s="381"/>
      <c r="F49" s="384"/>
      <c r="G49" s="387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</row>
    <row r="50" spans="1:19" s="45" customFormat="1" ht="13.5" customHeight="1">
      <c r="A50" s="406" t="str">
        <f>IF('[1]p25'!$A$324&lt;&gt;0,'[1]p25'!$A$324,"")</f>
        <v>Graduação em Engenharia Elétrica</v>
      </c>
      <c r="B50" s="379"/>
      <c r="C50" s="379"/>
      <c r="D50" s="379"/>
      <c r="E50" s="380"/>
      <c r="F50" s="406" t="str">
        <f>IF('[1]p25'!$B$325&lt;&gt;0,'[1]p25'!$B$325,"")</f>
        <v>Participação em Colegiado de Curso como membro titular, exceto membro nato</v>
      </c>
      <c r="G50" s="379"/>
      <c r="H50" s="379"/>
      <c r="I50" s="379"/>
      <c r="J50" s="379"/>
      <c r="K50" s="379"/>
      <c r="L50" s="379"/>
      <c r="M50" s="380"/>
      <c r="N50" s="406" t="str">
        <f>IF('[1]p25'!$H$324&lt;&gt;0,'[1]p25'!$H$324,"")</f>
        <v>Port./UAME/016/2007</v>
      </c>
      <c r="O50" s="379"/>
      <c r="P50" s="379"/>
      <c r="Q50" s="380"/>
      <c r="R50" s="35">
        <f>IF('[1]p25'!$J$324&lt;&gt;0,'[1]p25'!$J$324,"")</f>
        <v>39198</v>
      </c>
      <c r="S50" s="35">
        <f>IF('[1]p25'!$K$324&lt;&gt;0,'[1]p25'!$K$324,"")</f>
      </c>
    </row>
    <row r="51" spans="1:19" s="45" customFormat="1" ht="13.5" customHeight="1">
      <c r="A51" s="406" t="str">
        <f>IF('[1]p25'!$A$328&lt;&gt;0,'[1]p25'!$A$328,"")</f>
        <v>Graduação em Engenharia Civil</v>
      </c>
      <c r="B51" s="379"/>
      <c r="C51" s="379"/>
      <c r="D51" s="379"/>
      <c r="E51" s="380"/>
      <c r="F51" s="406" t="str">
        <f>IF('[1]p25'!$B$329&lt;&gt;0,'[1]p25'!$B$329,"")</f>
        <v>Participação em Colegiado de Curso como membro suplente</v>
      </c>
      <c r="G51" s="379"/>
      <c r="H51" s="379"/>
      <c r="I51" s="379"/>
      <c r="J51" s="379"/>
      <c r="K51" s="379"/>
      <c r="L51" s="379"/>
      <c r="M51" s="380"/>
      <c r="N51" s="406" t="str">
        <f>IF('[1]p25'!$H$328&lt;&gt;0,'[1]p25'!$H$328,"")</f>
        <v>Port./UAME/009/2007</v>
      </c>
      <c r="O51" s="379"/>
      <c r="P51" s="379"/>
      <c r="Q51" s="380"/>
      <c r="R51" s="35">
        <f>IF('[1]p25'!$J$328&lt;&gt;0,'[1]p25'!$J$328,"")</f>
        <v>39198</v>
      </c>
      <c r="S51" s="35">
        <f>IF('[1]p25'!$K$328&lt;&gt;0,'[1]p25'!$K$328,"")</f>
      </c>
    </row>
    <row r="52" spans="1:19" s="45" customFormat="1" ht="13.5" customHeight="1">
      <c r="A52" s="382" t="str">
        <f>T('[1]p28'!$C$13:$G$13)</f>
        <v>Michelli Karinne Barros da Silva</v>
      </c>
      <c r="B52" s="381"/>
      <c r="C52" s="381"/>
      <c r="D52" s="381"/>
      <c r="E52" s="381"/>
      <c r="F52" s="384"/>
      <c r="G52" s="387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</row>
    <row r="53" spans="1:19" s="45" customFormat="1" ht="13.5" customHeight="1">
      <c r="A53" s="406" t="str">
        <f>IF('[1]p28'!$A$324&lt;&gt;0,'[1]p28'!$A$324,"")</f>
        <v>Graduação em Engenharia de Minas</v>
      </c>
      <c r="B53" s="379"/>
      <c r="C53" s="379"/>
      <c r="D53" s="379"/>
      <c r="E53" s="380"/>
      <c r="F53" s="406" t="str">
        <f>IF('[1]p28'!$B$325&lt;&gt;0,'[1]p28'!$B$325,"")</f>
        <v>Participação em Colegiado de Curso como membro titular, exceto membro nato</v>
      </c>
      <c r="G53" s="379"/>
      <c r="H53" s="379"/>
      <c r="I53" s="379"/>
      <c r="J53" s="379"/>
      <c r="K53" s="379"/>
      <c r="L53" s="379"/>
      <c r="M53" s="380"/>
      <c r="N53" s="406" t="str">
        <f>IF('[1]p28'!$H$324&lt;&gt;0,'[1]p28'!$H$324,"")</f>
        <v>Port./UAME/017/2007</v>
      </c>
      <c r="O53" s="379"/>
      <c r="P53" s="379"/>
      <c r="Q53" s="380"/>
      <c r="R53" s="35">
        <f>IF('[1]p28'!$J$324&lt;&gt;0,'[1]p28'!$J$324,"")</f>
        <v>39198</v>
      </c>
      <c r="S53" s="35">
        <f>IF('[1]p28'!$K$324&lt;&gt;0,'[1]p28'!$K$324,"")</f>
      </c>
    </row>
    <row r="54" spans="1:19" s="45" customFormat="1" ht="13.5" customHeight="1">
      <c r="A54" s="406" t="str">
        <f>IF('[1]p28'!$A$328&lt;&gt;0,'[1]p28'!$A$328,"")</f>
        <v>Graduação em Computação</v>
      </c>
      <c r="B54" s="379"/>
      <c r="C54" s="379"/>
      <c r="D54" s="379"/>
      <c r="E54" s="380"/>
      <c r="F54" s="406" t="str">
        <f>IF('[1]p28'!$B$329&lt;&gt;0,'[1]p28'!$B$329,"")</f>
        <v>Participação em Colegiado de Curso como membro suplente</v>
      </c>
      <c r="G54" s="379"/>
      <c r="H54" s="379"/>
      <c r="I54" s="379"/>
      <c r="J54" s="379"/>
      <c r="K54" s="379"/>
      <c r="L54" s="379"/>
      <c r="M54" s="380"/>
      <c r="N54" s="406" t="str">
        <f>IF('[1]p28'!$H$328&lt;&gt;0,'[1]p28'!$H$328,"")</f>
        <v>Port./UAME/018/2007</v>
      </c>
      <c r="O54" s="379"/>
      <c r="P54" s="379"/>
      <c r="Q54" s="380"/>
      <c r="R54" s="35">
        <f>IF('[1]p28'!$J$328&lt;&gt;0,'[1]p28'!$J$328,"")</f>
        <v>39198</v>
      </c>
      <c r="S54" s="35">
        <f>IF('[1]p28'!$K$328&lt;&gt;0,'[1]p28'!$K$328,"")</f>
      </c>
    </row>
    <row r="55" spans="1:19" s="45" customFormat="1" ht="13.5" customHeight="1">
      <c r="A55" s="382" t="str">
        <f>T('[1]p29'!$C$13:$G$13)</f>
        <v>Miriam Costa</v>
      </c>
      <c r="B55" s="381"/>
      <c r="C55" s="381"/>
      <c r="D55" s="381"/>
      <c r="E55" s="381"/>
      <c r="F55" s="384"/>
      <c r="G55" s="387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</row>
    <row r="56" spans="1:19" s="45" customFormat="1" ht="13.5" customHeight="1">
      <c r="A56" s="406" t="str">
        <f>IF('[1]p29'!$A$324&lt;&gt;0,'[1]p29'!$A$324,"")</f>
        <v>Graduação em Engenharia Mecânica</v>
      </c>
      <c r="B56" s="379"/>
      <c r="C56" s="379"/>
      <c r="D56" s="379"/>
      <c r="E56" s="380"/>
      <c r="F56" s="406" t="str">
        <f>IF('[1]p29'!$B$325&lt;&gt;0,'[1]p29'!$B$325,"")</f>
        <v>Participação em Colegiado de Curso como membro titular, exceto membro nato</v>
      </c>
      <c r="G56" s="379"/>
      <c r="H56" s="379"/>
      <c r="I56" s="379"/>
      <c r="J56" s="379"/>
      <c r="K56" s="379"/>
      <c r="L56" s="379"/>
      <c r="M56" s="380"/>
      <c r="N56" s="406" t="str">
        <f>IF('[1]p29'!$H$324&lt;&gt;0,'[1]p29'!$H$324,"")</f>
        <v>Port./UAME/021/2007</v>
      </c>
      <c r="O56" s="379"/>
      <c r="P56" s="379"/>
      <c r="Q56" s="380"/>
      <c r="R56" s="35">
        <f>IF('[1]p29'!$J$324&lt;&gt;0,'[1]p29'!$J$324,"")</f>
        <v>39198</v>
      </c>
      <c r="S56" s="35">
        <f>IF('[1]p29'!$K$324&lt;&gt;0,'[1]p29'!$K$324,"")</f>
      </c>
    </row>
    <row r="57" spans="1:19" s="45" customFormat="1" ht="13.5" customHeight="1">
      <c r="A57" s="406" t="str">
        <f>IF('[1]p29'!$A$328&lt;&gt;0,'[1]p29'!$A$328,"")</f>
        <v>Graduação em Engeharia de Materiais</v>
      </c>
      <c r="B57" s="379"/>
      <c r="C57" s="379"/>
      <c r="D57" s="379"/>
      <c r="E57" s="380"/>
      <c r="F57" s="406" t="str">
        <f>IF('[1]p29'!$B$329&lt;&gt;0,'[1]p29'!$B$329,"")</f>
        <v>Participação em Colegiado de Curso como membro suplente</v>
      </c>
      <c r="G57" s="379"/>
      <c r="H57" s="379"/>
      <c r="I57" s="379"/>
      <c r="J57" s="379"/>
      <c r="K57" s="379"/>
      <c r="L57" s="379"/>
      <c r="M57" s="380"/>
      <c r="N57" s="406" t="str">
        <f>IF('[1]p29'!$H$328&lt;&gt;0,'[1]p29'!$H$328,"")</f>
        <v>Port./UAME/020/2007</v>
      </c>
      <c r="O57" s="379"/>
      <c r="P57" s="379"/>
      <c r="Q57" s="380"/>
      <c r="R57" s="35">
        <f>IF('[1]p29'!$J$328&lt;&gt;0,'[1]p29'!$J$328,"")</f>
        <v>39198</v>
      </c>
      <c r="S57" s="35">
        <f>IF('[1]p29'!$K$328&lt;&gt;0,'[1]p29'!$K$328,"")</f>
      </c>
    </row>
    <row r="58" spans="1:19" s="45" customFormat="1" ht="13.5" customHeight="1">
      <c r="A58" s="382" t="str">
        <f>T('[1]p30'!$C$13:$G$13)</f>
        <v>Patrícia Batista Leal</v>
      </c>
      <c r="B58" s="381"/>
      <c r="C58" s="381"/>
      <c r="D58" s="381"/>
      <c r="E58" s="381"/>
      <c r="F58" s="384"/>
      <c r="G58" s="387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</row>
    <row r="59" spans="1:19" s="45" customFormat="1" ht="13.5" customHeight="1">
      <c r="A59" s="406" t="str">
        <f>IF('[1]p30'!$A$324&lt;&gt;0,'[1]p30'!$A$324,"")</f>
        <v>Graduação em Engenharia de Produção</v>
      </c>
      <c r="B59" s="379"/>
      <c r="C59" s="379"/>
      <c r="D59" s="379"/>
      <c r="E59" s="380"/>
      <c r="F59" s="406" t="str">
        <f>IF('[1]p30'!$B$325&lt;&gt;0,'[1]p30'!$B$325,"")</f>
        <v>Participação em Colegiado de Curso como membro titular, exceto membro nato</v>
      </c>
      <c r="G59" s="379"/>
      <c r="H59" s="379"/>
      <c r="I59" s="379"/>
      <c r="J59" s="379"/>
      <c r="K59" s="379"/>
      <c r="L59" s="379"/>
      <c r="M59" s="380"/>
      <c r="N59" s="406" t="str">
        <f>IF('[1]p30'!$H$324&lt;&gt;0,'[1]p30'!$H$324,"")</f>
        <v>Port./UAME/022/2007</v>
      </c>
      <c r="O59" s="379"/>
      <c r="P59" s="379"/>
      <c r="Q59" s="380"/>
      <c r="R59" s="35">
        <f>IF('[1]p30'!$J$324&lt;&gt;0,'[1]p30'!$J$324,"")</f>
        <v>39198</v>
      </c>
      <c r="S59" s="35">
        <f>IF('[1]p30'!$K$324&lt;&gt;0,'[1]p30'!$K$324,"")</f>
      </c>
    </row>
    <row r="60" spans="1:19" s="45" customFormat="1" ht="13.5" customHeight="1">
      <c r="A60" s="406" t="str">
        <f>IF('[1]p30'!$A$328&lt;&gt;0,'[1]p30'!$A$328,"")</f>
        <v>Graduação em Meteorologia</v>
      </c>
      <c r="B60" s="379"/>
      <c r="C60" s="379"/>
      <c r="D60" s="379"/>
      <c r="E60" s="380"/>
      <c r="F60" s="406" t="str">
        <f>IF('[1]p30'!$B$329&lt;&gt;0,'[1]p30'!$B$329,"")</f>
        <v>Participação em Colegiado de Curso como membro suplente</v>
      </c>
      <c r="G60" s="379"/>
      <c r="H60" s="379"/>
      <c r="I60" s="379"/>
      <c r="J60" s="379"/>
      <c r="K60" s="379"/>
      <c r="L60" s="379"/>
      <c r="M60" s="380"/>
      <c r="N60" s="406" t="str">
        <f>IF('[1]p30'!$H$328&lt;&gt;0,'[1]p30'!$H$328,"")</f>
        <v>Port//UAME/014/2007</v>
      </c>
      <c r="O60" s="379"/>
      <c r="P60" s="379"/>
      <c r="Q60" s="380"/>
      <c r="R60" s="35">
        <f>IF('[1]p30'!$J$328&lt;&gt;0,'[1]p30'!$J$328,"")</f>
        <v>39198</v>
      </c>
      <c r="S60" s="35">
        <f>IF('[1]p30'!$K$328&lt;&gt;0,'[1]p30'!$K$328,"")</f>
      </c>
    </row>
    <row r="61" spans="1:19" s="45" customFormat="1" ht="13.5" customHeight="1">
      <c r="A61" s="382" t="str">
        <f>T('[1]p31'!$C$13:$G$13)</f>
        <v>Rosana Marques da Silva</v>
      </c>
      <c r="B61" s="381"/>
      <c r="C61" s="381"/>
      <c r="D61" s="381"/>
      <c r="E61" s="381"/>
      <c r="F61" s="384"/>
      <c r="G61" s="387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</row>
    <row r="62" spans="1:19" s="45" customFormat="1" ht="13.5" customHeight="1">
      <c r="A62" s="406" t="str">
        <f>IF('[1]p31'!$A$324&lt;&gt;0,'[1]p31'!$A$324,"")</f>
        <v>Camara Superior de Ensino</v>
      </c>
      <c r="B62" s="379"/>
      <c r="C62" s="379"/>
      <c r="D62" s="379"/>
      <c r="E62" s="380"/>
      <c r="F62" s="406">
        <f>IF('[1]p31'!$B$325&lt;&gt;0,'[1]p31'!$B$325,"")</f>
      </c>
      <c r="G62" s="379"/>
      <c r="H62" s="379"/>
      <c r="I62" s="379"/>
      <c r="J62" s="379"/>
      <c r="K62" s="379"/>
      <c r="L62" s="379"/>
      <c r="M62" s="380"/>
      <c r="N62" s="406" t="str">
        <f>IF('[1]p31'!$H$324&lt;&gt;0,'[1]p31'!$H$324,"")</f>
        <v>Portaria /DCCT/No. 081/2008</v>
      </c>
      <c r="O62" s="379"/>
      <c r="P62" s="379"/>
      <c r="Q62" s="380"/>
      <c r="R62" s="35">
        <f>IF('[1]p31'!$J$324&lt;&gt;0,'[1]p31'!$J$324,"")</f>
        <v>39633</v>
      </c>
      <c r="S62" s="35">
        <f>IF('[1]p31'!$K$324&lt;&gt;0,'[1]p31'!$K$324,"")</f>
        <v>40362</v>
      </c>
    </row>
    <row r="63" spans="1:19" s="45" customFormat="1" ht="13.5" customHeight="1">
      <c r="A63" s="382" t="str">
        <f>T('[1]p32'!$C$13:$G$13)</f>
        <v>Rosângela Silveira do Nascimento</v>
      </c>
      <c r="B63" s="381"/>
      <c r="C63" s="381"/>
      <c r="D63" s="381"/>
      <c r="E63" s="381"/>
      <c r="F63" s="384"/>
      <c r="G63" s="387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</row>
    <row r="64" spans="1:19" s="45" customFormat="1" ht="13.5" customHeight="1">
      <c r="A64" s="406" t="str">
        <f>IF('[1]p32'!$A$324&lt;&gt;0,'[1]p32'!$A$324,"")</f>
        <v>membro do colegiado do curso de graduação de Engenharia de Minas</v>
      </c>
      <c r="B64" s="379"/>
      <c r="C64" s="379"/>
      <c r="D64" s="379"/>
      <c r="E64" s="380"/>
      <c r="F64" s="406">
        <f>IF('[1]p32'!$B$325&lt;&gt;0,'[1]p32'!$B$325,"")</f>
      </c>
      <c r="G64" s="379"/>
      <c r="H64" s="379"/>
      <c r="I64" s="379"/>
      <c r="J64" s="379"/>
      <c r="K64" s="379"/>
      <c r="L64" s="379"/>
      <c r="M64" s="380"/>
      <c r="N64" s="406" t="str">
        <f>IF('[1]p32'!$H$324&lt;&gt;0,'[1]p32'!$H$324,"")</f>
        <v> portaria nº13/2008</v>
      </c>
      <c r="O64" s="379"/>
      <c r="P64" s="379"/>
      <c r="Q64" s="380"/>
      <c r="R64" s="35">
        <f>IF('[1]p32'!$J$324&lt;&gt;0,'[1]p32'!$J$324,"")</f>
        <v>39603</v>
      </c>
      <c r="S64" s="35">
        <f>IF('[1]p32'!$K$324&lt;&gt;0,'[1]p32'!$K$324,"")</f>
      </c>
    </row>
    <row r="65" spans="1:19" s="45" customFormat="1" ht="13.5" customHeight="1">
      <c r="A65" s="406" t="str">
        <f>IF('[1]p32'!$A$328&lt;&gt;0,'[1]p32'!$A$328,"")</f>
        <v> comissão  elaboração do Projeto Pedagógico do Curso de Estatística </v>
      </c>
      <c r="B65" s="379"/>
      <c r="C65" s="379"/>
      <c r="D65" s="379"/>
      <c r="E65" s="380"/>
      <c r="F65" s="406">
        <f>IF('[1]p32'!$B$329&lt;&gt;0,'[1]p32'!$B$329,"")</f>
      </c>
      <c r="G65" s="379"/>
      <c r="H65" s="379"/>
      <c r="I65" s="379"/>
      <c r="J65" s="379"/>
      <c r="K65" s="379"/>
      <c r="L65" s="379"/>
      <c r="M65" s="380"/>
      <c r="N65" s="406" t="str">
        <f>IF('[1]p32'!$H$328&lt;&gt;0,'[1]p32'!$H$328,"")</f>
        <v>portaria nº078/2008</v>
      </c>
      <c r="O65" s="379"/>
      <c r="P65" s="379"/>
      <c r="Q65" s="380"/>
      <c r="R65" s="35" t="str">
        <f>IF('[1]p32'!$J$328&lt;&gt;0,'[1]p32'!$J$328,"")</f>
        <v>21/0708</v>
      </c>
      <c r="S65" s="35">
        <f>IF('[1]p32'!$K$328&lt;&gt;0,'[1]p32'!$K$328,"")</f>
      </c>
    </row>
    <row r="66" spans="1:19" s="45" customFormat="1" ht="13.5" customHeight="1">
      <c r="A66" s="406" t="str">
        <f>IF('[1]p32'!$A$332&lt;&gt;0,'[1]p32'!$A$332,"")</f>
        <v>membro da comissão Permanente de Pessoal Docente</v>
      </c>
      <c r="B66" s="379"/>
      <c r="C66" s="379"/>
      <c r="D66" s="379"/>
      <c r="E66" s="380"/>
      <c r="F66" s="406">
        <f>IF('[1]p32'!$B$333&lt;&gt;0,'[1]p32'!$B$333,"")</f>
      </c>
      <c r="G66" s="379"/>
      <c r="H66" s="379"/>
      <c r="I66" s="379"/>
      <c r="J66" s="379"/>
      <c r="K66" s="379"/>
      <c r="L66" s="379"/>
      <c r="M66" s="380"/>
      <c r="N66" s="406" t="str">
        <f>IF('[1]p32'!$H$332&lt;&gt;0,'[1]p32'!$H$332,"")</f>
        <v>portaria nº090</v>
      </c>
      <c r="O66" s="379"/>
      <c r="P66" s="379"/>
      <c r="Q66" s="380"/>
      <c r="R66" s="35">
        <f>IF('[1]p32'!$J$332&lt;&gt;0,'[1]p32'!$J$332,"")</f>
        <v>39686</v>
      </c>
      <c r="S66" s="35">
        <f>IF('[1]p32'!$K$332&lt;&gt;0,'[1]p32'!$K$332,"")</f>
      </c>
    </row>
    <row r="67" spans="1:19" s="45" customFormat="1" ht="13.5" customHeight="1">
      <c r="A67" s="382" t="str">
        <f>T('[1]p33'!$C$13:$G$13)</f>
        <v>Sérgio Mota Alves</v>
      </c>
      <c r="B67" s="381"/>
      <c r="C67" s="381"/>
      <c r="D67" s="381"/>
      <c r="E67" s="381"/>
      <c r="F67" s="384"/>
      <c r="G67" s="387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</row>
    <row r="68" spans="1:19" s="45" customFormat="1" ht="13.5" customHeight="1">
      <c r="A68" s="406" t="str">
        <f>IF('[1]p33'!$A$328&lt;&gt;0,'[1]p33'!$A$328,"")</f>
        <v>Pós-Graduação em Matemática</v>
      </c>
      <c r="B68" s="379"/>
      <c r="C68" s="379"/>
      <c r="D68" s="379"/>
      <c r="E68" s="380"/>
      <c r="F68" s="406" t="str">
        <f>IF('[1]p33'!$B$329&lt;&gt;0,'[1]p33'!$B$329,"")</f>
        <v>Participação em Colegiado de Curso como membro suplente</v>
      </c>
      <c r="G68" s="379"/>
      <c r="H68" s="379"/>
      <c r="I68" s="379"/>
      <c r="J68" s="379"/>
      <c r="K68" s="379"/>
      <c r="L68" s="379"/>
      <c r="M68" s="380"/>
      <c r="N68" s="406" t="str">
        <f>IF('[1]p33'!$H$328&lt;&gt;0,'[1]p33'!$H$328,"")</f>
        <v> Port./UAME/01/2007</v>
      </c>
      <c r="O68" s="379"/>
      <c r="P68" s="379"/>
      <c r="Q68" s="380"/>
      <c r="R68" s="35">
        <f>IF('[1]p33'!$J$328&lt;&gt;0,'[1]p33'!$J$328,"")</f>
        <v>39120</v>
      </c>
      <c r="S68" s="35">
        <f>IF('[1]p33'!$K$328&lt;&gt;0,'[1]p33'!$K$328,"")</f>
      </c>
    </row>
    <row r="69" spans="1:19" s="45" customFormat="1" ht="13.5" customHeight="1">
      <c r="A69" s="382" t="str">
        <f>T('[1]p34'!$C$13:$G$13)</f>
        <v>Vandik Estevam Barbosa</v>
      </c>
      <c r="B69" s="381"/>
      <c r="C69" s="381"/>
      <c r="D69" s="381"/>
      <c r="E69" s="381"/>
      <c r="F69" s="384"/>
      <c r="G69" s="387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</row>
    <row r="70" spans="1:19" s="45" customFormat="1" ht="13.5" customHeight="1">
      <c r="A70" s="406" t="str">
        <f>IF('[1]p34'!$A$324&lt;&gt;0,'[1]p34'!$A$324,"")</f>
        <v>Graduação em Administração</v>
      </c>
      <c r="B70" s="379"/>
      <c r="C70" s="379"/>
      <c r="D70" s="379"/>
      <c r="E70" s="380"/>
      <c r="F70" s="406" t="str">
        <f>IF('[1]p34'!$B$325&lt;&gt;0,'[1]p34'!$B$325,"")</f>
        <v>Participação em Colegiado de Curso como membro titular, exceto membro nato</v>
      </c>
      <c r="G70" s="379"/>
      <c r="H70" s="379"/>
      <c r="I70" s="379"/>
      <c r="J70" s="379"/>
      <c r="K70" s="379"/>
      <c r="L70" s="379"/>
      <c r="M70" s="380"/>
      <c r="N70" s="406" t="str">
        <f>IF('[1]p34'!$H$324&lt;&gt;0,'[1]p34'!$H$324,"")</f>
        <v>Port./UAME/019/2007</v>
      </c>
      <c r="O70" s="379"/>
      <c r="P70" s="379"/>
      <c r="Q70" s="380"/>
      <c r="R70" s="35">
        <f>IF('[1]p34'!$J$324&lt;&gt;0,'[1]p34'!$J$324,"")</f>
        <v>39198</v>
      </c>
      <c r="S70" s="35">
        <f>IF('[1]p34'!$K$324&lt;&gt;0,'[1]p34'!$K$324,"")</f>
      </c>
    </row>
    <row r="71" spans="1:19" s="45" customFormat="1" ht="13.5" customHeight="1">
      <c r="A71" s="406" t="str">
        <f>IF('[1]p34'!$A$328&lt;&gt;0,'[1]p34'!$A$328,"")</f>
        <v>Graduação em Matemática</v>
      </c>
      <c r="B71" s="379"/>
      <c r="C71" s="379"/>
      <c r="D71" s="379"/>
      <c r="E71" s="380"/>
      <c r="F71" s="406" t="str">
        <f>IF('[1]p34'!$B$329&lt;&gt;0,'[1]p34'!$B$329,"")</f>
        <v>Participação em Colegiado de Curso como membro suplente</v>
      </c>
      <c r="G71" s="379"/>
      <c r="H71" s="379"/>
      <c r="I71" s="379"/>
      <c r="J71" s="379"/>
      <c r="K71" s="379"/>
      <c r="L71" s="379"/>
      <c r="M71" s="380"/>
      <c r="N71" s="406" t="str">
        <f>IF('[1]p34'!$H$328&lt;&gt;0,'[1]p34'!$H$328,"")</f>
        <v>Port/UAME/007/2007</v>
      </c>
      <c r="O71" s="379"/>
      <c r="P71" s="379"/>
      <c r="Q71" s="380"/>
      <c r="R71" s="35">
        <f>IF('[1]p34'!$J$328&lt;&gt;0,'[1]p34'!$J$328,"")</f>
        <v>39198</v>
      </c>
      <c r="S71" s="35">
        <f>IF('[1]p34'!$K$328&lt;&gt;0,'[1]p34'!$K$328,"")</f>
      </c>
    </row>
  </sheetData>
  <sheetProtection password="CEFE" sheet="1" objects="1" scenarios="1"/>
  <mergeCells count="186">
    <mergeCell ref="A4:F4"/>
    <mergeCell ref="G4:S4"/>
    <mergeCell ref="F6:M6"/>
    <mergeCell ref="N6:Q6"/>
    <mergeCell ref="A6:E6"/>
    <mergeCell ref="A5:E5"/>
    <mergeCell ref="F5:M5"/>
    <mergeCell ref="N5:Q5"/>
    <mergeCell ref="A1:S1"/>
    <mergeCell ref="A2:D2"/>
    <mergeCell ref="N3:Q3"/>
    <mergeCell ref="Q2:R2"/>
    <mergeCell ref="E2:P2"/>
    <mergeCell ref="A3:E3"/>
    <mergeCell ref="F3:M3"/>
    <mergeCell ref="A7:F7"/>
    <mergeCell ref="G7:S7"/>
    <mergeCell ref="A8:E8"/>
    <mergeCell ref="F8:M8"/>
    <mergeCell ref="N8:Q8"/>
    <mergeCell ref="A9:E9"/>
    <mergeCell ref="F9:M9"/>
    <mergeCell ref="N9:Q9"/>
    <mergeCell ref="A10:F10"/>
    <mergeCell ref="G10:S10"/>
    <mergeCell ref="A11:E11"/>
    <mergeCell ref="F11:M11"/>
    <mergeCell ref="N11:Q11"/>
    <mergeCell ref="A12:E12"/>
    <mergeCell ref="F12:M12"/>
    <mergeCell ref="N12:Q12"/>
    <mergeCell ref="A13:F13"/>
    <mergeCell ref="G13:S13"/>
    <mergeCell ref="A14:E14"/>
    <mergeCell ref="F14:M14"/>
    <mergeCell ref="N14:Q14"/>
    <mergeCell ref="A15:F15"/>
    <mergeCell ref="G15:S15"/>
    <mergeCell ref="A16:E16"/>
    <mergeCell ref="F16:M16"/>
    <mergeCell ref="N16:Q16"/>
    <mergeCell ref="A17:E17"/>
    <mergeCell ref="F17:M17"/>
    <mergeCell ref="N17:Q17"/>
    <mergeCell ref="A18:F18"/>
    <mergeCell ref="G18:S18"/>
    <mergeCell ref="A19:E19"/>
    <mergeCell ref="F19:M19"/>
    <mergeCell ref="N19:Q19"/>
    <mergeCell ref="A20:E20"/>
    <mergeCell ref="F20:M20"/>
    <mergeCell ref="N20:Q20"/>
    <mergeCell ref="A21:F21"/>
    <mergeCell ref="G21:S21"/>
    <mergeCell ref="A22:E22"/>
    <mergeCell ref="F22:M22"/>
    <mergeCell ref="N22:Q22"/>
    <mergeCell ref="A23:E23"/>
    <mergeCell ref="F23:M23"/>
    <mergeCell ref="N23:Q23"/>
    <mergeCell ref="A24:F24"/>
    <mergeCell ref="G24:S24"/>
    <mergeCell ref="A25:E25"/>
    <mergeCell ref="F25:M25"/>
    <mergeCell ref="N25:Q25"/>
    <mergeCell ref="A26:F26"/>
    <mergeCell ref="G26:S26"/>
    <mergeCell ref="A27:E27"/>
    <mergeCell ref="F27:M27"/>
    <mergeCell ref="N27:Q27"/>
    <mergeCell ref="A28:F28"/>
    <mergeCell ref="G28:S28"/>
    <mergeCell ref="A29:E29"/>
    <mergeCell ref="F29:M29"/>
    <mergeCell ref="N29:Q29"/>
    <mergeCell ref="A30:F30"/>
    <mergeCell ref="G30:S30"/>
    <mergeCell ref="A37:E37"/>
    <mergeCell ref="F37:M37"/>
    <mergeCell ref="N37:Q37"/>
    <mergeCell ref="A31:E31"/>
    <mergeCell ref="F31:M31"/>
    <mergeCell ref="N31:Q31"/>
    <mergeCell ref="A32:E32"/>
    <mergeCell ref="F32:M32"/>
    <mergeCell ref="N32:Q32"/>
    <mergeCell ref="A33:F33"/>
    <mergeCell ref="A38:E38"/>
    <mergeCell ref="F38:M38"/>
    <mergeCell ref="N38:Q38"/>
    <mergeCell ref="A39:F39"/>
    <mergeCell ref="G39:S39"/>
    <mergeCell ref="A40:E40"/>
    <mergeCell ref="F40:M40"/>
    <mergeCell ref="N40:Q40"/>
    <mergeCell ref="A41:F41"/>
    <mergeCell ref="G41:S41"/>
    <mergeCell ref="A42:E42"/>
    <mergeCell ref="F42:M42"/>
    <mergeCell ref="N42:Q42"/>
    <mergeCell ref="A43:F43"/>
    <mergeCell ref="G43:S43"/>
    <mergeCell ref="A44:E44"/>
    <mergeCell ref="F44:M44"/>
    <mergeCell ref="N44:Q44"/>
    <mergeCell ref="A45:E45"/>
    <mergeCell ref="F45:M45"/>
    <mergeCell ref="N45:Q45"/>
    <mergeCell ref="A46:F46"/>
    <mergeCell ref="G46:S46"/>
    <mergeCell ref="A47:E47"/>
    <mergeCell ref="F47:M47"/>
    <mergeCell ref="N47:Q47"/>
    <mergeCell ref="A48:E48"/>
    <mergeCell ref="F48:M48"/>
    <mergeCell ref="N48:Q48"/>
    <mergeCell ref="A49:F49"/>
    <mergeCell ref="G49:S49"/>
    <mergeCell ref="A50:E50"/>
    <mergeCell ref="F50:M50"/>
    <mergeCell ref="N50:Q50"/>
    <mergeCell ref="A51:E51"/>
    <mergeCell ref="F51:M51"/>
    <mergeCell ref="N51:Q51"/>
    <mergeCell ref="A52:F52"/>
    <mergeCell ref="G52:S52"/>
    <mergeCell ref="A53:E53"/>
    <mergeCell ref="F53:M53"/>
    <mergeCell ref="N53:Q53"/>
    <mergeCell ref="A54:E54"/>
    <mergeCell ref="F54:M54"/>
    <mergeCell ref="N54:Q54"/>
    <mergeCell ref="A55:F55"/>
    <mergeCell ref="G55:S55"/>
    <mergeCell ref="A56:E56"/>
    <mergeCell ref="F56:M56"/>
    <mergeCell ref="N56:Q56"/>
    <mergeCell ref="A57:E57"/>
    <mergeCell ref="F57:M57"/>
    <mergeCell ref="N57:Q57"/>
    <mergeCell ref="A58:F58"/>
    <mergeCell ref="G58:S58"/>
    <mergeCell ref="A59:E59"/>
    <mergeCell ref="F59:M59"/>
    <mergeCell ref="N59:Q59"/>
    <mergeCell ref="A60:E60"/>
    <mergeCell ref="F60:M60"/>
    <mergeCell ref="N60:Q60"/>
    <mergeCell ref="A61:F61"/>
    <mergeCell ref="G61:S61"/>
    <mergeCell ref="A62:E62"/>
    <mergeCell ref="F62:M62"/>
    <mergeCell ref="N62:Q62"/>
    <mergeCell ref="A63:F63"/>
    <mergeCell ref="G63:S63"/>
    <mergeCell ref="A64:E64"/>
    <mergeCell ref="F64:M64"/>
    <mergeCell ref="N64:Q64"/>
    <mergeCell ref="A65:E65"/>
    <mergeCell ref="F65:M65"/>
    <mergeCell ref="N65:Q65"/>
    <mergeCell ref="A67:F67"/>
    <mergeCell ref="G67:S67"/>
    <mergeCell ref="A66:E66"/>
    <mergeCell ref="F66:M66"/>
    <mergeCell ref="N66:Q66"/>
    <mergeCell ref="N68:Q68"/>
    <mergeCell ref="A69:F69"/>
    <mergeCell ref="G69:S69"/>
    <mergeCell ref="A70:E70"/>
    <mergeCell ref="F70:M70"/>
    <mergeCell ref="N70:Q70"/>
    <mergeCell ref="G33:S33"/>
    <mergeCell ref="A34:E34"/>
    <mergeCell ref="F34:M34"/>
    <mergeCell ref="N34:Q34"/>
    <mergeCell ref="A71:E71"/>
    <mergeCell ref="F71:M71"/>
    <mergeCell ref="N71:Q71"/>
    <mergeCell ref="A35:E35"/>
    <mergeCell ref="F35:M35"/>
    <mergeCell ref="N35:Q35"/>
    <mergeCell ref="A36:F36"/>
    <mergeCell ref="G36:S36"/>
    <mergeCell ref="A68:E68"/>
    <mergeCell ref="F68:M6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9" t="s">
        <v>169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13.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3.5" thickBot="1">
      <c r="A3" s="393" t="s">
        <v>11</v>
      </c>
      <c r="B3" s="394"/>
      <c r="C3" s="394"/>
      <c r="D3" s="395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7" t="s">
        <v>79</v>
      </c>
      <c r="S3" s="59" t="str">
        <f>'[1]p1'!$H$4</f>
        <v>2008.1</v>
      </c>
    </row>
    <row r="4" spans="1:19" s="1" customFormat="1" ht="12.7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</row>
    <row r="5" spans="1:19" s="8" customFormat="1" ht="13.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19" ht="13.5" thickBot="1">
      <c r="A6" s="410" t="s">
        <v>12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2"/>
      <c r="M6" s="410" t="s">
        <v>17</v>
      </c>
      <c r="N6" s="411"/>
      <c r="O6" s="411"/>
      <c r="P6" s="411"/>
      <c r="Q6" s="412"/>
      <c r="R6" s="33" t="s">
        <v>19</v>
      </c>
      <c r="S6" s="30" t="s">
        <v>25</v>
      </c>
    </row>
    <row r="7" spans="1:19" ht="12.75">
      <c r="A7" s="421"/>
      <c r="B7" s="421"/>
      <c r="C7" s="421"/>
      <c r="D7" s="421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45" customFormat="1" ht="12.75">
      <c r="A8" s="382" t="str">
        <f>T('[1]p1'!$C$13:$G$13)</f>
        <v>Alciônio Saldanha de Oliveira</v>
      </c>
      <c r="B8" s="418"/>
      <c r="C8" s="418"/>
      <c r="D8" s="419"/>
      <c r="E8" s="387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</row>
    <row r="9" spans="1:19" s="3" customFormat="1" ht="13.5" customHeight="1">
      <c r="A9" s="413" t="str">
        <f>IF('[1]p1'!$A$302&lt;&gt;0,'[1]p1'!$A$302,"")</f>
        <v>Coordenador do programa de desenvolvimento curricular do CCT</v>
      </c>
      <c r="B9" s="413"/>
      <c r="C9" s="413"/>
      <c r="D9" s="413"/>
      <c r="E9" s="415"/>
      <c r="F9" s="415"/>
      <c r="G9" s="415"/>
      <c r="H9" s="415"/>
      <c r="I9" s="415"/>
      <c r="J9" s="415"/>
      <c r="K9" s="415"/>
      <c r="L9" s="415"/>
      <c r="M9" s="415" t="str">
        <f>IF('[1]p1'!$H$302&lt;&gt;0,'[1]p1'!$H$302,"")</f>
        <v>Port/DCCT/008/2006</v>
      </c>
      <c r="N9" s="415"/>
      <c r="O9" s="415"/>
      <c r="P9" s="415"/>
      <c r="Q9" s="415"/>
      <c r="R9" s="118">
        <f>IF('[1]p1'!$J$302&lt;&gt;0,'[1]p1'!$J$302,"")</f>
        <v>38751</v>
      </c>
      <c r="S9" s="118">
        <f>IF('[1]p1'!$K$302&lt;&gt;0,'[1]p1'!$K$302,"")</f>
      </c>
    </row>
    <row r="10" spans="1:19" s="3" customFormat="1" ht="13.5" customHeight="1">
      <c r="A10" s="413" t="str">
        <f>IF('[1]p1'!$A$306&lt;&gt;0,'[1]p1'!$A$306,"")</f>
        <v>Comissão de Avaliação de Estágio Probatório (Profa. Patricia)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 t="str">
        <f>IF('[1]p1'!$H$306&lt;&gt;0,'[1]p1'!$H$306,"")</f>
        <v>Port./UAME/02/2006</v>
      </c>
      <c r="N10" s="413"/>
      <c r="O10" s="413"/>
      <c r="P10" s="413"/>
      <c r="Q10" s="413"/>
      <c r="R10" s="35">
        <f>IF('[1]p1'!$J$306&lt;&gt;0,'[1]p1'!$J$306,"")</f>
        <v>38814</v>
      </c>
      <c r="S10" s="35">
        <f>IF('[1]p1'!$K$306&lt;&gt;0,'[1]p1'!$K$306,"")</f>
        <v>39909</v>
      </c>
    </row>
    <row r="11" spans="1:19" s="3" customFormat="1" ht="13.5" customHeight="1">
      <c r="A11" s="413" t="str">
        <f>IF('[1]p1'!$A$310&lt;&gt;0,'[1]p1'!$A$310,"")</f>
        <v>Coordenador do Projeto de Monitoria - DME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>
        <f>IF('[1]p1'!$H$310&lt;&gt;0,'[1]p1'!$H$310,"")</f>
      </c>
      <c r="N11" s="413"/>
      <c r="O11" s="413"/>
      <c r="P11" s="413"/>
      <c r="Q11" s="413"/>
      <c r="R11" s="35">
        <f>IF('[1]p1'!$J$310&lt;&gt;0,'[1]p1'!$J$310,"")</f>
        <v>38901</v>
      </c>
      <c r="S11" s="35">
        <f>IF('[1]p1'!$K$310&lt;&gt;0,'[1]p1'!$K$310,"")</f>
      </c>
    </row>
    <row r="12" spans="1:19" s="3" customFormat="1" ht="13.5" customHeight="1">
      <c r="A12" s="416" t="str">
        <f>IF('[1]p1'!$A$314&lt;&gt;0,'[1]p1'!$A$314,"")</f>
        <v>Membro da comissão de avaliação dos Projetos Pedagógicos de Cursos do CCT 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 t="str">
        <f>IF('[1]p1'!$H$314&lt;&gt;0,'[1]p1'!$H$314,"")</f>
        <v>Port./UAME 03/2005</v>
      </c>
      <c r="N12" s="416"/>
      <c r="O12" s="416"/>
      <c r="P12" s="416"/>
      <c r="Q12" s="416"/>
      <c r="R12" s="35">
        <f>IF('[1]p1'!$J$314&lt;&gt;0,'[1]p1'!$J$314,"")</f>
        <v>38463</v>
      </c>
      <c r="S12" s="35">
        <f>IF('[1]p1'!$K$314&lt;&gt;0,'[1]p1'!$K$314,"")</f>
      </c>
    </row>
    <row r="13" spans="1:19" s="45" customFormat="1" ht="11.25">
      <c r="A13" s="403" t="str">
        <f>T('[1]p7'!$C$13:$G$13)</f>
        <v>Antônio Pereira Brandão Júnior</v>
      </c>
      <c r="B13" s="404"/>
      <c r="C13" s="404"/>
      <c r="D13" s="414"/>
      <c r="E13" s="387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</row>
    <row r="14" spans="1:19" s="3" customFormat="1" ht="13.5" customHeight="1">
      <c r="A14" s="413" t="str">
        <f>IF('[1]p7'!$A$302&lt;&gt;0,'[1]p7'!$A$302,"")</f>
        <v>Comissão de Avaliação de Estágio Probatório (Prof. Marcelo)</v>
      </c>
      <c r="B14" s="413"/>
      <c r="C14" s="413"/>
      <c r="D14" s="413"/>
      <c r="E14" s="415"/>
      <c r="F14" s="415"/>
      <c r="G14" s="415"/>
      <c r="H14" s="415"/>
      <c r="I14" s="415"/>
      <c r="J14" s="415"/>
      <c r="K14" s="415"/>
      <c r="L14" s="415"/>
      <c r="M14" s="415" t="str">
        <f>IF('[1]p7'!$H$302&lt;&gt;0,'[1]p7'!$H$302,"")</f>
        <v>Port./UAME/05/2007</v>
      </c>
      <c r="N14" s="415"/>
      <c r="O14" s="415"/>
      <c r="P14" s="415"/>
      <c r="Q14" s="415"/>
      <c r="R14" s="118">
        <f>IF('[1]p7'!$J$302&lt;&gt;0,'[1]p7'!$J$302,"")</f>
        <v>39149</v>
      </c>
      <c r="S14" s="118">
        <f>IF('[1]p7'!$K$302&lt;&gt;0,'[1]p7'!$K$302,"")</f>
        <v>40245</v>
      </c>
    </row>
    <row r="15" spans="1:19" s="3" customFormat="1" ht="13.5" customHeight="1">
      <c r="A15" s="413" t="str">
        <f>IF('[1]p7'!$A$306&lt;&gt;0,'[1]p7'!$A$306,"")</f>
        <v>Comissão de Avaliação de Estágio Probatório (Profa. Miichelli)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 t="str">
        <f>IF('[1]p7'!$H$306&lt;&gt;0,'[1]p7'!$H$306,"")</f>
        <v>Port./UAME/ 04/2007</v>
      </c>
      <c r="N15" s="413"/>
      <c r="O15" s="413"/>
      <c r="P15" s="413"/>
      <c r="Q15" s="413"/>
      <c r="R15" s="35">
        <f>IF('[1]p7'!$J$306&lt;&gt;0,'[1]p7'!$J$306,"")</f>
        <v>39149</v>
      </c>
      <c r="S15" s="35">
        <f>IF('[1]p7'!$K$306&lt;&gt;0,'[1]p7'!$K$306,"")</f>
        <v>40245</v>
      </c>
    </row>
    <row r="16" spans="1:19" s="45" customFormat="1" ht="11.25">
      <c r="A16" s="403" t="str">
        <f>T('[1]p8'!$C$13:$G$13)</f>
        <v>Aparecido Jesuino de Souza</v>
      </c>
      <c r="B16" s="404"/>
      <c r="C16" s="404"/>
      <c r="D16" s="414"/>
      <c r="E16" s="387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</row>
    <row r="17" spans="1:19" s="3" customFormat="1" ht="13.5" customHeight="1">
      <c r="A17" s="413" t="str">
        <f>IF('[1]p8'!$A$302&lt;&gt;0,'[1]p8'!$A$302,"")</f>
        <v>Comissão de Elaboração do Regimento da UAME</v>
      </c>
      <c r="B17" s="413"/>
      <c r="C17" s="413"/>
      <c r="D17" s="413"/>
      <c r="E17" s="415"/>
      <c r="F17" s="415"/>
      <c r="G17" s="415"/>
      <c r="H17" s="415"/>
      <c r="I17" s="415"/>
      <c r="J17" s="415"/>
      <c r="K17" s="415"/>
      <c r="L17" s="415"/>
      <c r="M17" s="415" t="str">
        <f>IF('[1]p8'!$H$302&lt;&gt;0,'[1]p8'!$H$302,"")</f>
        <v>Port./UAME/41/07</v>
      </c>
      <c r="N17" s="415"/>
      <c r="O17" s="415"/>
      <c r="P17" s="415"/>
      <c r="Q17" s="415"/>
      <c r="R17" s="118">
        <f>IF('[1]p8'!$J$302&lt;&gt;0,'[1]p8'!$J$302,"")</f>
        <v>39489</v>
      </c>
      <c r="S17" s="118">
        <f>IF('[1]p8'!$K$302&lt;&gt;0,'[1]p8'!$K$302,"")</f>
        <v>39751</v>
      </c>
    </row>
    <row r="18" spans="1:19" s="3" customFormat="1" ht="13.5" customHeight="1">
      <c r="A18" s="413" t="str">
        <f>IF('[1]p8'!$A$306&lt;&gt;0,'[1]p8'!$A$306,"")</f>
        <v>Coordenação local do Projeto Instituto do Milênio em Matemática: IM-AGIMP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 t="str">
        <f>IF('[1]p8'!$H$306&lt;&gt;0,'[1]p8'!$H$306,"")</f>
        <v>Email do Jacob</v>
      </c>
      <c r="N18" s="413"/>
      <c r="O18" s="413"/>
      <c r="P18" s="413"/>
      <c r="Q18" s="413"/>
      <c r="R18" s="35">
        <f>IF('[1]p8'!$J$306&lt;&gt;0,'[1]p8'!$J$306,"")</f>
        <v>37316</v>
      </c>
      <c r="S18" s="35">
        <f>IF('[1]p8'!$K$306&lt;&gt;0,'[1]p8'!$K$306,"")</f>
        <v>39751</v>
      </c>
    </row>
    <row r="19" spans="1:19" s="3" customFormat="1" ht="13.5" customHeight="1">
      <c r="A19" s="413" t="str">
        <f>IF('[1]p8'!$A$310&lt;&gt;0,'[1]p8'!$A$310,"")</f>
        <v>Coordenação do Laboratório de Informática (LIDME) da UAME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 t="str">
        <f>IF('[1]p8'!$H$310&lt;&gt;0,'[1]p8'!$H$310,"")</f>
        <v>Port./UAME/006/06</v>
      </c>
      <c r="N19" s="413"/>
      <c r="O19" s="413"/>
      <c r="P19" s="413"/>
      <c r="Q19" s="413"/>
      <c r="R19" s="35">
        <f>IF('[1]p8'!$J$310&lt;&gt;0,'[1]p8'!$J$310,"")</f>
        <v>38940</v>
      </c>
      <c r="S19" s="35">
        <f>IF('[1]p8'!$K$310&lt;&gt;0,'[1]p8'!$K$310,"")</f>
      </c>
    </row>
    <row r="20" spans="1:19" s="3" customFormat="1" ht="13.5" customHeight="1">
      <c r="A20" s="416" t="str">
        <f>IF('[1]p8'!$A$314&lt;&gt;0,'[1]p8'!$A$314,"")</f>
        <v>Coordenação da Biblioteca Setorial da UAME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 t="str">
        <f>IF('[1]p8'!$H$314&lt;&gt;0,'[1]p8'!$H$314,"")</f>
        <v>Port./UAME/010/06</v>
      </c>
      <c r="N20" s="416"/>
      <c r="O20" s="416"/>
      <c r="P20" s="416"/>
      <c r="Q20" s="416"/>
      <c r="R20" s="35">
        <f>IF('[1]p8'!$J$314&lt;&gt;0,'[1]p8'!$J$314,"")</f>
        <v>38951</v>
      </c>
      <c r="S20" s="35">
        <f>IF('[1]p8'!$K$314&lt;&gt;0,'[1]p8'!$K$314,"")</f>
      </c>
    </row>
    <row r="21" spans="1:19" s="3" customFormat="1" ht="13.5" customHeight="1">
      <c r="A21" s="413" t="str">
        <f>IF('[1]p8'!$A$318&lt;&gt;0,'[1]p8'!$A$318,"")</f>
        <v>Avaliação p/ Progressão Funcional para a Classe de Professor Associado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 t="str">
        <f>IF('[1]p8'!$H$318&lt;&gt;0,'[1]p8'!$H$318,"")</f>
        <v>Port.GR/UFCG/ 064/2008</v>
      </c>
      <c r="N21" s="413"/>
      <c r="O21" s="413"/>
      <c r="P21" s="413"/>
      <c r="Q21" s="413"/>
      <c r="R21" s="35">
        <f>IF('[1]p8'!$J$318&lt;&gt;0,'[1]p8'!$J$318,"")</f>
        <v>39601</v>
      </c>
      <c r="S21" s="35">
        <f>IF('[1]p8'!$K$318&lt;&gt;0,'[1]p8'!$K$318,"")</f>
      </c>
    </row>
    <row r="22" spans="1:19" s="3" customFormat="1" ht="13.5" customHeight="1">
      <c r="A22" s="413" t="str">
        <f>IF('[1]p46'!$A$306&lt;&gt;0,'[1]p46'!$A$306,"")</f>
        <v>Pres. da Comissão de Avaliação de Estágio Probatório da Profa Bianca Caretta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 t="str">
        <f>IF('[1]p46'!$H$306&lt;&gt;0,'[1]p46'!$H$306,"")</f>
        <v>Port./UAME/007/06</v>
      </c>
      <c r="N22" s="413"/>
      <c r="O22" s="413"/>
      <c r="P22" s="413"/>
      <c r="Q22" s="413"/>
      <c r="R22" s="35">
        <f>IF('[1]p46'!$J$306&lt;&gt;0,'[1]p46'!$J$306,"")</f>
        <v>38947</v>
      </c>
      <c r="S22" s="35">
        <f>IF('[1]p46'!$K$306&lt;&gt;0,'[1]p46'!$K$306,"")</f>
        <v>40042</v>
      </c>
    </row>
    <row r="23" spans="1:19" s="3" customFormat="1" ht="13.5" customHeight="1">
      <c r="A23" s="413" t="str">
        <f>IF('[1]p46'!$A$310&lt;&gt;0,'[1]p46'!$A$310,"")</f>
        <v>Pres. da Comissão de Avaliação de Estágio Probatório do Prof. Jesualdo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 t="str">
        <f>IF('[1]p46'!$H$310&lt;&gt;0,'[1]p46'!$H$310,"")</f>
        <v>Port./UAME/008/06</v>
      </c>
      <c r="N23" s="413"/>
      <c r="O23" s="413"/>
      <c r="P23" s="413"/>
      <c r="Q23" s="413"/>
      <c r="R23" s="35">
        <f>IF('[1]p46'!$J$310&lt;&gt;0,'[1]p46'!$J$310,"")</f>
        <v>38947</v>
      </c>
      <c r="S23" s="35">
        <f>IF('[1]p46'!$K$310&lt;&gt;0,'[1]p46'!$K$310,"")</f>
        <v>40042</v>
      </c>
    </row>
    <row r="24" spans="1:19" s="3" customFormat="1" ht="13.5" customHeight="1">
      <c r="A24" s="416" t="str">
        <f>IF('[1]p46'!$A$314&lt;&gt;0,'[1]p46'!$A$314,"")</f>
        <v>Pres. da Comissão de Avaliação de Estágio Probatório do Prof. Claudianor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 t="str">
        <f>IF('[1]p46'!$H$314&lt;&gt;0,'[1]p46'!$H$314,"")</f>
        <v>Port./UAME/004/06</v>
      </c>
      <c r="N24" s="416"/>
      <c r="O24" s="416"/>
      <c r="P24" s="416"/>
      <c r="Q24" s="416"/>
      <c r="R24" s="35">
        <f>IF('[1]p46'!$J$314&lt;&gt;0,'[1]p46'!$J$314,"")</f>
        <v>38947</v>
      </c>
      <c r="S24" s="35">
        <f>IF('[1]p46'!$K$314&lt;&gt;0,'[1]p46'!$K$314,"")</f>
        <v>40042</v>
      </c>
    </row>
    <row r="25" spans="1:19" s="45" customFormat="1" ht="11.25">
      <c r="A25" s="403" t="str">
        <f>T('[1]p9'!$C$13:$G$13)</f>
        <v>Bianca Morelli Casalvara Caretta</v>
      </c>
      <c r="B25" s="404"/>
      <c r="C25" s="404"/>
      <c r="D25" s="414"/>
      <c r="E25" s="387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</row>
    <row r="26" spans="1:19" s="3" customFormat="1" ht="13.5" customHeight="1">
      <c r="A26" s="413" t="str">
        <f>IF('[1]p9'!$A$302&lt;&gt;0,'[1]p9'!$A$302,"")</f>
        <v>Coordenação de Conferências da UAME</v>
      </c>
      <c r="B26" s="413"/>
      <c r="C26" s="413"/>
      <c r="D26" s="413"/>
      <c r="E26" s="415"/>
      <c r="F26" s="415"/>
      <c r="G26" s="415"/>
      <c r="H26" s="415"/>
      <c r="I26" s="415"/>
      <c r="J26" s="415"/>
      <c r="K26" s="415"/>
      <c r="L26" s="415"/>
      <c r="M26" s="415" t="str">
        <f>IF('[1]p9'!$H$302&lt;&gt;0,'[1]p9'!$H$302,"")</f>
        <v>Port./UAME/015/2006</v>
      </c>
      <c r="N26" s="415"/>
      <c r="O26" s="415"/>
      <c r="P26" s="415"/>
      <c r="Q26" s="415"/>
      <c r="R26" s="118">
        <f>IF('[1]p9'!$J$302&lt;&gt;0,'[1]p9'!$J$302,"")</f>
        <v>38982</v>
      </c>
      <c r="S26" s="118">
        <f>IF('[1]p9'!$K$302&lt;&gt;0,'[1]p9'!$K$302,"")</f>
        <v>39660</v>
      </c>
    </row>
    <row r="27" spans="1:19" s="45" customFormat="1" ht="11.25">
      <c r="A27" s="403" t="str">
        <f>T('[1]p11'!$C$13:$G$13)</f>
        <v>Claudianor Oliveira Alves</v>
      </c>
      <c r="B27" s="404"/>
      <c r="C27" s="404"/>
      <c r="D27" s="414"/>
      <c r="E27" s="387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</row>
    <row r="28" spans="1:19" s="3" customFormat="1" ht="13.5" customHeight="1">
      <c r="A28" s="413" t="str">
        <f>IF('[1]p11'!$A$306&lt;&gt;0,'[1]p11'!$A$306,"")</f>
        <v>Pres. da Comissão de Avaliação de Estágio Probatório do Prof. Alexsandro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 t="str">
        <f>IF('[1]p11'!$H$306&lt;&gt;0,'[1]p11'!$H$306,"")</f>
        <v>Port./DME/07/2002</v>
      </c>
      <c r="N28" s="413"/>
      <c r="O28" s="413"/>
      <c r="P28" s="413"/>
      <c r="Q28" s="413"/>
      <c r="R28" s="35">
        <f>IF('[1]p11'!$J$306&lt;&gt;0,'[1]p11'!$J$306,"")</f>
        <v>37414</v>
      </c>
      <c r="S28" s="35">
        <f>IF('[1]p11'!$K$306&lt;&gt;0,'[1]p11'!$K$306,"")</f>
      </c>
    </row>
    <row r="29" spans="1:19" s="3" customFormat="1" ht="13.5" customHeight="1">
      <c r="A29" s="413" t="str">
        <f>IF('[1]p11'!$A$310&lt;&gt;0,'[1]p11'!$A$310,"")</f>
        <v>Pres. da comissão de Avaliação de Estágio Probatório do Prof. Joseilson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 t="str">
        <f>IF('[1]p11'!$H$310&lt;&gt;0,'[1]p11'!$H$310,"")</f>
        <v>Port./DME/14/2002</v>
      </c>
      <c r="N29" s="413"/>
      <c r="O29" s="413"/>
      <c r="P29" s="413"/>
      <c r="Q29" s="413"/>
      <c r="R29" s="35">
        <f>IF('[1]p11'!$J$310&lt;&gt;0,'[1]p11'!$J$310,"")</f>
        <v>37474</v>
      </c>
      <c r="S29" s="35">
        <f>IF('[1]p11'!$K$310&lt;&gt;0,'[1]p11'!$K$310,"")</f>
      </c>
    </row>
    <row r="30" spans="1:19" s="3" customFormat="1" ht="13.5" customHeight="1">
      <c r="A30" s="416" t="str">
        <f>IF('[1]p11'!$A$314&lt;&gt;0,'[1]p11'!$A$314,"")</f>
        <v>Coord. do Projeto Eq. Dif.  Aplicadas e Álgebra com Identidades Polinomiais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 t="str">
        <f>IF('[1]p11'!$H$314&lt;&gt;0,'[1]p11'!$H$314,"")</f>
        <v>E-mail CNPq</v>
      </c>
      <c r="N30" s="416"/>
      <c r="O30" s="416"/>
      <c r="P30" s="416"/>
      <c r="Q30" s="416"/>
      <c r="R30" s="35">
        <f>IF('[1]p11'!$J$314&lt;&gt;0,'[1]p11'!$J$314,"")</f>
        <v>39144</v>
      </c>
      <c r="S30" s="35">
        <f>IF('[1]p11'!$K$314&lt;&gt;0,'[1]p11'!$K$314,"")</f>
        <v>39874</v>
      </c>
    </row>
    <row r="31" spans="1:19" s="45" customFormat="1" ht="11.25">
      <c r="A31" s="403" t="str">
        <f>T('[1]p12'!$C$13:$G$13)</f>
        <v>Daniel Cordeiro de Morais Filho</v>
      </c>
      <c r="B31" s="404"/>
      <c r="C31" s="404"/>
      <c r="D31" s="414"/>
      <c r="E31" s="387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1:19" s="3" customFormat="1" ht="13.5" customHeight="1">
      <c r="A32" s="413" t="str">
        <f>IF('[1]p12'!$A$306&lt;&gt;0,'[1]p12'!$A$306,"")</f>
        <v>Coordenador Geral do Programa Institucional de Bolsas de Incentivo 'a Docência  _PIBIB no âmbito da UFCG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 t="str">
        <f>IF('[1]p12'!$H$306&lt;&gt;0,'[1]p12'!$H$306,"")</f>
        <v>Port. GR/31/2008</v>
      </c>
      <c r="N32" s="413"/>
      <c r="O32" s="413"/>
      <c r="P32" s="413"/>
      <c r="Q32" s="413"/>
      <c r="R32" s="35">
        <f>IF('[1]p12'!$J$306&lt;&gt;0,'[1]p12'!$J$306,"")</f>
        <v>39525</v>
      </c>
      <c r="S32" s="35">
        <f>IF('[1]p12'!$K$306&lt;&gt;0,'[1]p12'!$K$306,"")</f>
        <v>41091</v>
      </c>
    </row>
    <row r="33" spans="1:19" s="3" customFormat="1" ht="13.5" customHeight="1">
      <c r="A33" s="413" t="str">
        <f>IF('[1]p12'!$A$310&lt;&gt;0,'[1]p12'!$A$310,"")</f>
        <v>Comissão de Avaliação de Estágio Probatório do Prof. (Claudianor)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 t="str">
        <f>IF('[1]p12'!$H$310&lt;&gt;0,'[1]p12'!$H$310,"")</f>
        <v>Port./UAME/004/06</v>
      </c>
      <c r="N33" s="413"/>
      <c r="O33" s="413"/>
      <c r="P33" s="413"/>
      <c r="Q33" s="413"/>
      <c r="R33" s="35">
        <f>IF('[1]p12'!$J$310&lt;&gt;0,'[1]p12'!$J$310,"")</f>
        <v>38947</v>
      </c>
      <c r="S33" s="35">
        <f>IF('[1]p12'!$K$310&lt;&gt;0,'[1]p12'!$K$310,"")</f>
        <v>40042</v>
      </c>
    </row>
    <row r="34" spans="1:19" s="3" customFormat="1" ht="13.5" customHeight="1">
      <c r="A34" s="413" t="str">
        <f>IF('[1]p12'!$A$314&lt;&gt;0,'[1]p12'!$A$314,"")</f>
        <v>Pres. da Comissão de Avaliação p/ Progressão Funcional para a Classe de Professor Associado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 t="str">
        <f>IF('[1]p12'!$H$314&lt;&gt;0,'[1]p12'!$H$314,"")</f>
        <v>Port. GR/058/2006</v>
      </c>
      <c r="N34" s="413"/>
      <c r="O34" s="413"/>
      <c r="P34" s="413"/>
      <c r="Q34" s="413"/>
      <c r="R34" s="35">
        <f>IF('[1]p12'!$J$314&lt;&gt;0,'[1]p12'!$J$314,"")</f>
        <v>38959</v>
      </c>
      <c r="S34" s="35">
        <f>IF('[1]p12'!$K$314&lt;&gt;0,'[1]p12'!$K$314,"")</f>
      </c>
    </row>
    <row r="35" spans="1:19" s="3" customFormat="1" ht="13.5" customHeight="1">
      <c r="A35" s="417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</row>
    <row r="36" spans="1:19" s="45" customFormat="1" ht="11.25">
      <c r="A36" s="382" t="str">
        <f>T('[1]p13'!$C$13:$G$13)</f>
        <v>Florence Ayres Campello de Oliveira</v>
      </c>
      <c r="B36" s="381"/>
      <c r="C36" s="381"/>
      <c r="D36" s="384"/>
      <c r="E36" s="387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</row>
    <row r="37" spans="1:19" s="3" customFormat="1" ht="13.5" customHeight="1">
      <c r="A37" s="413" t="str">
        <f>IF('[1]p13'!$A$302&lt;&gt;0,'[1]p13'!$A$302,"")</f>
        <v>Sub-Coordenadora do LAPEM</v>
      </c>
      <c r="B37" s="413"/>
      <c r="C37" s="413"/>
      <c r="D37" s="413"/>
      <c r="E37" s="415"/>
      <c r="F37" s="415"/>
      <c r="G37" s="415"/>
      <c r="H37" s="415"/>
      <c r="I37" s="415"/>
      <c r="J37" s="415"/>
      <c r="K37" s="415"/>
      <c r="L37" s="415"/>
      <c r="M37" s="415" t="str">
        <f>IF('[1]p13'!$H$302&lt;&gt;0,'[1]p13'!$H$302,"")</f>
        <v>Port./UAME/33/2007  13/09/07    13/09/09</v>
      </c>
      <c r="N37" s="415"/>
      <c r="O37" s="415"/>
      <c r="P37" s="415"/>
      <c r="Q37" s="415"/>
      <c r="R37" s="118">
        <f>IF('[1]p13'!$J$302&lt;&gt;0,'[1]p13'!$J$302,"")</f>
        <v>39338</v>
      </c>
      <c r="S37" s="118">
        <f>IF('[1]p13'!$K$302&lt;&gt;0,'[1]p13'!$K$302,"")</f>
        <v>40069</v>
      </c>
    </row>
    <row r="38" spans="1:19" s="45" customFormat="1" ht="11.25">
      <c r="A38" s="403" t="str">
        <f>T('[1]p14'!$C$13:$G$13)</f>
        <v>Francisco Antônio Morais de Souza</v>
      </c>
      <c r="B38" s="404"/>
      <c r="C38" s="404"/>
      <c r="D38" s="414"/>
      <c r="E38" s="387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</row>
    <row r="39" spans="1:19" s="3" customFormat="1" ht="13.5" customHeight="1">
      <c r="A39" s="413" t="str">
        <f>IF('[1]p14'!$A$302&lt;&gt;0,'[1]p14'!$A$302,"")</f>
        <v>Coordenador do LANEST</v>
      </c>
      <c r="B39" s="413"/>
      <c r="C39" s="413"/>
      <c r="D39" s="413"/>
      <c r="E39" s="415"/>
      <c r="F39" s="415"/>
      <c r="G39" s="415"/>
      <c r="H39" s="415"/>
      <c r="I39" s="415"/>
      <c r="J39" s="415"/>
      <c r="K39" s="415"/>
      <c r="L39" s="415"/>
      <c r="M39" s="415">
        <f>IF('[1]p14'!$H$302&lt;&gt;0,'[1]p14'!$H$302,"")</f>
      </c>
      <c r="N39" s="415"/>
      <c r="O39" s="415"/>
      <c r="P39" s="415"/>
      <c r="Q39" s="415"/>
      <c r="R39" s="118">
        <f>IF('[1]p14'!$J$302&lt;&gt;0,'[1]p14'!$J$302,"")</f>
      </c>
      <c r="S39" s="118">
        <f>IF('[1]p14'!$K$302&lt;&gt;0,'[1]p14'!$K$302,"")</f>
      </c>
    </row>
    <row r="40" spans="1:19" s="3" customFormat="1" ht="13.5" customHeight="1">
      <c r="A40" s="413" t="str">
        <f>IF('[1]p14'!$A$306&lt;&gt;0,'[1]p14'!$A$306,"")</f>
        <v>Coordenador da Área de Estatística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>
        <f>IF('[1]p14'!$H$306&lt;&gt;0,'[1]p14'!$H$306,"")</f>
      </c>
      <c r="N40" s="413"/>
      <c r="O40" s="413"/>
      <c r="P40" s="413"/>
      <c r="Q40" s="413"/>
      <c r="R40" s="35">
        <f>IF('[1]p14'!$J$306&lt;&gt;0,'[1]p14'!$J$306,"")</f>
      </c>
      <c r="S40" s="35">
        <f>IF('[1]p14'!$K$306&lt;&gt;0,'[1]p14'!$K$306,"")</f>
      </c>
    </row>
    <row r="41" spans="1:19" s="3" customFormat="1" ht="13.5" customHeight="1">
      <c r="A41" s="413" t="str">
        <f>IF('[1]p14'!$A$310&lt;&gt;0,'[1]p14'!$A$310,"")</f>
        <v>Coordenador do Programa de Recursos Humanos da ANP (PRH-25/ANP)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 t="str">
        <f>IF('[1]p14'!$H$310&lt;&gt;0,'[1]p14'!$H$310,"")</f>
        <v>Port 076/2006-UFCG</v>
      </c>
      <c r="N41" s="413"/>
      <c r="O41" s="413"/>
      <c r="P41" s="413"/>
      <c r="Q41" s="413"/>
      <c r="R41" s="35">
        <f>IF('[1]p14'!$J$310&lt;&gt;0,'[1]p14'!$J$310,"")</f>
        <v>38992</v>
      </c>
      <c r="S41" s="35">
        <f>IF('[1]p14'!$K$310&lt;&gt;0,'[1]p14'!$K$310,"")</f>
        <v>39722</v>
      </c>
    </row>
    <row r="42" spans="1:19" s="45" customFormat="1" ht="11.25">
      <c r="A42" s="403" t="str">
        <f>T('[1]p16'!$C$13:$G$13)</f>
        <v>Gilberto da Silva Matos</v>
      </c>
      <c r="B42" s="404"/>
      <c r="C42" s="404"/>
      <c r="D42" s="414"/>
      <c r="E42" s="387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</row>
    <row r="43" spans="1:19" s="3" customFormat="1" ht="13.5" customHeight="1">
      <c r="A43" s="413" t="str">
        <f>IF('[1]p16'!$A$302&lt;&gt;0,'[1]p16'!$A$302,"")</f>
        <v>Coordenador da área de Estatística junto à UAME/UFCG</v>
      </c>
      <c r="B43" s="413"/>
      <c r="C43" s="413"/>
      <c r="D43" s="413"/>
      <c r="E43" s="415"/>
      <c r="F43" s="415"/>
      <c r="G43" s="415"/>
      <c r="H43" s="415"/>
      <c r="I43" s="415"/>
      <c r="J43" s="415"/>
      <c r="K43" s="415"/>
      <c r="L43" s="415"/>
      <c r="M43" s="415">
        <f>IF('[1]p16'!$H$302&lt;&gt;0,'[1]p16'!$H$302,"")</f>
      </c>
      <c r="N43" s="415"/>
      <c r="O43" s="415"/>
      <c r="P43" s="415"/>
      <c r="Q43" s="415"/>
      <c r="R43" s="118">
        <f>IF('[1]p16'!$J$302&lt;&gt;0,'[1]p16'!$J$302,"")</f>
        <v>39630</v>
      </c>
      <c r="S43" s="118">
        <f>IF('[1]p16'!$K$302&lt;&gt;0,'[1]p16'!$K$302,"")</f>
        <v>39995</v>
      </c>
    </row>
    <row r="44" spans="1:19" s="3" customFormat="1" ht="13.5" customHeight="1">
      <c r="A44" s="413" t="str">
        <f>IF('[1]p16'!$A$306&lt;&gt;0,'[1]p16'!$A$306,"")</f>
        <v>Participação na Comissão de elaboração do PPC de Estatística.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 t="str">
        <f>IF('[1]p16'!$H$306&lt;&gt;0,'[1]p16'!$H$306,"")</f>
        <v>Port. DCCT/78/08</v>
      </c>
      <c r="N44" s="413"/>
      <c r="O44" s="413"/>
      <c r="P44" s="413"/>
      <c r="Q44" s="413"/>
      <c r="R44" s="35">
        <f>IF('[1]p16'!$J$306&lt;&gt;0,'[1]p16'!$J$306,"")</f>
        <v>39650</v>
      </c>
      <c r="S44" s="35">
        <f>IF('[1]p16'!$K$306&lt;&gt;0,'[1]p16'!$K$306,"")</f>
        <v>39753</v>
      </c>
    </row>
    <row r="45" spans="1:19" s="45" customFormat="1" ht="11.25">
      <c r="A45" s="403" t="str">
        <f>T('[1]p18'!$C$13:$G$13)</f>
        <v>Izabel Maria Barbosa de Albuquerque</v>
      </c>
      <c r="B45" s="404"/>
      <c r="C45" s="404"/>
      <c r="D45" s="414"/>
      <c r="E45" s="387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19" s="3" customFormat="1" ht="13.5" customHeight="1">
      <c r="A46" s="413" t="str">
        <f>IF('[1]p18'!$A$302&lt;&gt;0,'[1]p18'!$A$302,"")</f>
        <v>Coordenadora do Laboratório de Pesquisa em Ensino de Matemática </v>
      </c>
      <c r="B46" s="413"/>
      <c r="C46" s="413"/>
      <c r="D46" s="413"/>
      <c r="E46" s="415"/>
      <c r="F46" s="415"/>
      <c r="G46" s="415"/>
      <c r="H46" s="415"/>
      <c r="I46" s="415"/>
      <c r="J46" s="415"/>
      <c r="K46" s="415"/>
      <c r="L46" s="415"/>
      <c r="M46" s="415" t="str">
        <f>IF('[1]p18'!$H$302&lt;&gt;0,'[1]p18'!$H$302,"")</f>
        <v>Port.UAME/33/2007</v>
      </c>
      <c r="N46" s="415"/>
      <c r="O46" s="415"/>
      <c r="P46" s="415"/>
      <c r="Q46" s="415"/>
      <c r="R46" s="118">
        <f>IF('[1]p18'!$J$302&lt;&gt;0,'[1]p18'!$J$302,"")</f>
        <v>39338</v>
      </c>
      <c r="S46" s="118">
        <f>IF('[1]p18'!$K$302&lt;&gt;0,'[1]p18'!$K$302,"")</f>
        <v>40069</v>
      </c>
    </row>
    <row r="47" spans="1:19" s="3" customFormat="1" ht="13.5" customHeight="1">
      <c r="A47" s="413" t="str">
        <f>IF('[1]p18'!$A$306&lt;&gt;0,'[1]p18'!$A$306,"")</f>
        <v>Comissão de Avaliação Docente da UAME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 t="str">
        <f>IF('[1]p18'!$H$306&lt;&gt;0,'[1]p18'!$H$306,"")</f>
        <v>Port./UAME/02/2006</v>
      </c>
      <c r="N47" s="413"/>
      <c r="O47" s="413"/>
      <c r="P47" s="413"/>
      <c r="Q47" s="413"/>
      <c r="R47" s="35">
        <f>IF('[1]p18'!$J$306&lt;&gt;0,'[1]p18'!$J$306,"")</f>
        <v>38814</v>
      </c>
      <c r="S47" s="35">
        <f>IF('[1]p18'!$K$306&lt;&gt;0,'[1]p18'!$K$306,"")</f>
      </c>
    </row>
    <row r="48" spans="1:19" s="45" customFormat="1" ht="11.25">
      <c r="A48" s="403" t="str">
        <f>T('[1]p19'!$C$13:$G$13)</f>
        <v>Jesualdo Gomes das Chagas</v>
      </c>
      <c r="B48" s="404"/>
      <c r="C48" s="404"/>
      <c r="D48" s="414"/>
      <c r="E48" s="387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</row>
    <row r="49" spans="1:19" s="3" customFormat="1" ht="13.5" customHeight="1">
      <c r="A49" s="413" t="str">
        <f>IF('[1]p19'!$A$302&lt;&gt;0,'[1]p19'!$A$302,"")</f>
        <v>Membro da Comissão Assessora de Ensino da Administração Executiva Colegiada da UAME.</v>
      </c>
      <c r="B49" s="413"/>
      <c r="C49" s="413"/>
      <c r="D49" s="413"/>
      <c r="E49" s="415"/>
      <c r="F49" s="415"/>
      <c r="G49" s="415"/>
      <c r="H49" s="415"/>
      <c r="I49" s="415"/>
      <c r="J49" s="415"/>
      <c r="K49" s="415"/>
      <c r="L49" s="415"/>
      <c r="M49" s="415">
        <f>IF('[1]p19'!$H$302&lt;&gt;0,'[1]p19'!$H$302,"")</f>
      </c>
      <c r="N49" s="415"/>
      <c r="O49" s="415"/>
      <c r="P49" s="415"/>
      <c r="Q49" s="415"/>
      <c r="R49" s="118">
        <f>IF('[1]p19'!$J$302&lt;&gt;0,'[1]p19'!$J$302,"")</f>
        <v>39584</v>
      </c>
      <c r="S49" s="118">
        <f>IF('[1]p19'!$K$302&lt;&gt;0,'[1]p19'!$K$302,"")</f>
      </c>
    </row>
    <row r="50" spans="1:19" s="45" customFormat="1" ht="11.25">
      <c r="A50" s="403" t="str">
        <f>T('[1]p20'!$C$13:$G$13)</f>
        <v>José de Arimatéia Fernandes</v>
      </c>
      <c r="B50" s="404"/>
      <c r="C50" s="404"/>
      <c r="D50" s="414"/>
      <c r="E50" s="387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</row>
    <row r="51" spans="1:19" s="3" customFormat="1" ht="13.5" customHeight="1">
      <c r="A51" s="413" t="str">
        <f>IF('[1]p20'!$A$302&lt;&gt;0,'[1]p20'!$A$302,"")</f>
        <v>Comissão de Avaliação de Estágio Probatório do Prof. Jesualdo</v>
      </c>
      <c r="B51" s="413"/>
      <c r="C51" s="413"/>
      <c r="D51" s="413"/>
      <c r="E51" s="415"/>
      <c r="F51" s="415"/>
      <c r="G51" s="415"/>
      <c r="H51" s="415"/>
      <c r="I51" s="415"/>
      <c r="J51" s="415"/>
      <c r="K51" s="415"/>
      <c r="L51" s="415"/>
      <c r="M51" s="415" t="str">
        <f>IF('[1]p20'!$H$302&lt;&gt;0,'[1]p20'!$H$302,"")</f>
        <v>Port./UAME/008/06</v>
      </c>
      <c r="N51" s="415"/>
      <c r="O51" s="415"/>
      <c r="P51" s="415"/>
      <c r="Q51" s="415"/>
      <c r="R51" s="118">
        <f>IF('[1]p20'!$J$302&lt;&gt;0,'[1]p20'!$J$302,"")</f>
        <v>38947</v>
      </c>
      <c r="S51" s="118">
        <f>IF('[1]p20'!$K$302&lt;&gt;0,'[1]p20'!$K$302,"")</f>
        <v>40042</v>
      </c>
    </row>
    <row r="52" spans="1:19" s="3" customFormat="1" ht="13.5" customHeight="1">
      <c r="A52" s="413" t="str">
        <f>IF('[1]p20'!$A$306&lt;&gt;0,'[1]p20'!$A$306,"")</f>
        <v>Comissão de Avaliação de Estágio Probatório da Profa Bianca Caretta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 t="str">
        <f>IF('[1]p20'!$H$306&lt;&gt;0,'[1]p20'!$H$306,"")</f>
        <v>Port./UAME/007/06</v>
      </c>
      <c r="N52" s="413"/>
      <c r="O52" s="413"/>
      <c r="P52" s="413"/>
      <c r="Q52" s="413"/>
      <c r="R52" s="35">
        <f>IF('[1]p20'!$J$306&lt;&gt;0,'[1]p20'!$J$306,"")</f>
        <v>38947</v>
      </c>
      <c r="S52" s="35">
        <f>IF('[1]p20'!$K$306&lt;&gt;0,'[1]p20'!$K$306,"")</f>
        <v>40042</v>
      </c>
    </row>
    <row r="53" spans="1:19" s="45" customFormat="1" ht="11.25">
      <c r="A53" s="403" t="str">
        <f>T('[1]p23'!$C$13:$G$13)</f>
        <v>José Luiz Neto</v>
      </c>
      <c r="B53" s="404"/>
      <c r="C53" s="404"/>
      <c r="D53" s="414"/>
      <c r="E53" s="387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</row>
    <row r="54" spans="1:19" s="3" customFormat="1" ht="13.5" customHeight="1">
      <c r="A54" s="413" t="str">
        <f>IF('[1]p23'!$A$302&lt;&gt;0,'[1]p23'!$A$302,"")</f>
        <v>Assessor de Graduação/CCT - PROGRAMAS: MONITORIA e PROLICEN</v>
      </c>
      <c r="B54" s="413"/>
      <c r="C54" s="413"/>
      <c r="D54" s="413"/>
      <c r="E54" s="415"/>
      <c r="F54" s="415"/>
      <c r="G54" s="415"/>
      <c r="H54" s="415"/>
      <c r="I54" s="415"/>
      <c r="J54" s="415"/>
      <c r="K54" s="415"/>
      <c r="L54" s="415"/>
      <c r="M54" s="415" t="str">
        <f>IF('[1]p23'!$H$302&lt;&gt;0,'[1]p23'!$H$302,"")</f>
        <v>Port./DCCT/003/2006</v>
      </c>
      <c r="N54" s="415"/>
      <c r="O54" s="415"/>
      <c r="P54" s="415"/>
      <c r="Q54" s="415"/>
      <c r="R54" s="118">
        <f>IF('[1]p23'!$J$302&lt;&gt;0,'[1]p23'!$J$302,"")</f>
        <v>38751</v>
      </c>
      <c r="S54" s="118">
        <f>IF('[1]p23'!$K$302&lt;&gt;0,'[1]p23'!$K$302,"")</f>
      </c>
    </row>
    <row r="55" spans="1:19" s="3" customFormat="1" ht="13.5" customHeight="1">
      <c r="A55" s="413" t="str">
        <f>IF('[1]p23'!$A$306&lt;&gt;0,'[1]p23'!$A$306,"")</f>
        <v>Pres. da Comissão de Avaliação de Estágio Probatório (Profa. Patrícia)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 t="str">
        <f>IF('[1]p23'!$H$306&lt;&gt;0,'[1]p23'!$H$306,"")</f>
        <v>Port./UAME/02/2006</v>
      </c>
      <c r="N55" s="413"/>
      <c r="O55" s="413"/>
      <c r="P55" s="413"/>
      <c r="Q55" s="413"/>
      <c r="R55" s="35">
        <f>IF('[1]p23'!$J$306&lt;&gt;0,'[1]p23'!$J$306,"")</f>
        <v>38814</v>
      </c>
      <c r="S55" s="35">
        <f>IF('[1]p23'!$K$306&lt;&gt;0,'[1]p23'!$K$306,"")</f>
        <v>39909</v>
      </c>
    </row>
    <row r="56" spans="1:19" s="3" customFormat="1" ht="13.5" customHeight="1">
      <c r="A56" s="413" t="str">
        <f>IF('[1]p23'!$A$310&lt;&gt;0,'[1]p23'!$A$310,"")</f>
        <v>Programa de modernização e valorização das engenharias (PROMOVE )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>
        <f>IF('[1]p23'!$H$310&lt;&gt;0,'[1]p23'!$H$310,"")</f>
      </c>
      <c r="N56" s="413"/>
      <c r="O56" s="413"/>
      <c r="P56" s="413"/>
      <c r="Q56" s="413"/>
      <c r="R56" s="35">
        <f>IF('[1]p23'!$J$310&lt;&gt;0,'[1]p23'!$J$310,"")</f>
        <v>39064</v>
      </c>
      <c r="S56" s="35">
        <f>IF('[1]p23'!$K$310&lt;&gt;0,'[1]p23'!$K$310,"")</f>
      </c>
    </row>
    <row r="57" spans="1:19" s="45" customFormat="1" ht="11.25">
      <c r="A57" s="403" t="str">
        <f>T('[1]p26'!$C$13:$G$13)</f>
        <v>Marco Aurélio Soares Souto</v>
      </c>
      <c r="B57" s="404"/>
      <c r="C57" s="404"/>
      <c r="D57" s="414"/>
      <c r="E57" s="387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3" customFormat="1" ht="13.5" customHeight="1">
      <c r="A58" s="413" t="str">
        <f>IF('[1]p26'!$A$302&lt;&gt;0,'[1]p26'!$A$302,"")</f>
        <v>Suplente da Comissão de Avaliação p/ Progressão Funcional para a Classe de Professor Associado</v>
      </c>
      <c r="B58" s="413"/>
      <c r="C58" s="413"/>
      <c r="D58" s="413"/>
      <c r="E58" s="415"/>
      <c r="F58" s="415"/>
      <c r="G58" s="415"/>
      <c r="H58" s="415"/>
      <c r="I58" s="415"/>
      <c r="J58" s="415"/>
      <c r="K58" s="415"/>
      <c r="L58" s="415"/>
      <c r="M58" s="415" t="str">
        <f>IF('[1]p26'!$H$302&lt;&gt;0,'[1]p26'!$H$302,"")</f>
        <v>Port. GR/090/2007</v>
      </c>
      <c r="N58" s="415"/>
      <c r="O58" s="415"/>
      <c r="P58" s="415"/>
      <c r="Q58" s="415"/>
      <c r="R58" s="118">
        <f>IF('[1]p26'!$J$302&lt;&gt;0,'[1]p26'!$J$302,"")</f>
        <v>38959</v>
      </c>
      <c r="S58" s="118">
        <f>IF('[1]p26'!$K$302&lt;&gt;0,'[1]p26'!$K$302,"")</f>
        <v>39351</v>
      </c>
    </row>
    <row r="59" spans="1:19" s="3" customFormat="1" ht="13.5" customHeight="1">
      <c r="A59" s="413" t="str">
        <f>IF('[1]p26'!$A$306&lt;&gt;0,'[1]p26'!$A$306,"")</f>
        <v>Comissão de Avaliação de Estágio Probatório da Prof. (Claudianor)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 t="str">
        <f>IF('[1]p26'!$H$306&lt;&gt;0,'[1]p26'!$H$306,"")</f>
        <v>Port./UAME/004/06</v>
      </c>
      <c r="N59" s="413"/>
      <c r="O59" s="413"/>
      <c r="P59" s="413"/>
      <c r="Q59" s="413"/>
      <c r="R59" s="35">
        <f>IF('[1]p26'!$J$306&lt;&gt;0,'[1]p26'!$J$306,"")</f>
        <v>38947</v>
      </c>
      <c r="S59" s="35">
        <f>IF('[1]p26'!$K$306&lt;&gt;0,'[1]p26'!$K$306,"")</f>
        <v>40042</v>
      </c>
    </row>
    <row r="60" spans="1:19" s="3" customFormat="1" ht="13.5" customHeight="1">
      <c r="A60" s="413" t="str">
        <f>IF('[1]p26'!$A$310&lt;&gt;0,'[1]p26'!$A$310,"")</f>
        <v>Membro da Comissão de Avaliação p/ Progressão Funcional para a Classe de Professor Associado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>
        <f>IF('[1]p26'!$H$310&lt;&gt;0,'[1]p26'!$H$310,"")</f>
      </c>
      <c r="N60" s="413"/>
      <c r="O60" s="413"/>
      <c r="P60" s="413"/>
      <c r="Q60" s="413"/>
      <c r="R60" s="35">
        <f>IF('[1]p26'!$J$310&lt;&gt;0,'[1]p26'!$J$310,"")</f>
      </c>
      <c r="S60" s="35">
        <f>IF('[1]p26'!$K$310&lt;&gt;0,'[1]p26'!$K$310,"")</f>
      </c>
    </row>
    <row r="61" spans="1:19" s="3" customFormat="1" ht="13.5" customHeight="1">
      <c r="A61" s="416" t="str">
        <f>IF('[1]p26'!$A$314&lt;&gt;0,'[1]p26'!$A$314,"")</f>
        <v>Comissão encarregada de elaborar minuta de regimento interno da UAME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 t="str">
        <f>IF('[1]p26'!$H$314&lt;&gt;0,'[1]p26'!$H$314,"")</f>
        <v>Port./UAME/41/2007</v>
      </c>
      <c r="N61" s="416"/>
      <c r="O61" s="416"/>
      <c r="P61" s="416"/>
      <c r="Q61" s="416"/>
      <c r="R61" s="35">
        <f>IF('[1]p26'!$J$314&lt;&gt;0,'[1]p26'!$J$314,"")</f>
      </c>
      <c r="S61" s="35">
        <f>IF('[1]p26'!$K$314&lt;&gt;0,'[1]p26'!$K$314,"")</f>
        <v>39733</v>
      </c>
    </row>
    <row r="62" spans="1:19" s="45" customFormat="1" ht="11.25">
      <c r="A62" s="403" t="str">
        <f>T('[1]p29'!$C$13:$G$13)</f>
        <v>Miriam Costa</v>
      </c>
      <c r="B62" s="404"/>
      <c r="C62" s="404"/>
      <c r="D62" s="414"/>
      <c r="E62" s="387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</row>
    <row r="63" spans="1:19" s="3" customFormat="1" ht="13.5" customHeight="1">
      <c r="A63" s="413" t="str">
        <f>IF('[1]p29'!$A$302&lt;&gt;0,'[1]p29'!$A$302,"")</f>
        <v> Comissao de Avaliação de Estágio Probatório (Prof. Marcelo)</v>
      </c>
      <c r="B63" s="413"/>
      <c r="C63" s="413"/>
      <c r="D63" s="413"/>
      <c r="E63" s="415"/>
      <c r="F63" s="415"/>
      <c r="G63" s="415"/>
      <c r="H63" s="415"/>
      <c r="I63" s="415"/>
      <c r="J63" s="415"/>
      <c r="K63" s="415"/>
      <c r="L63" s="415"/>
      <c r="M63" s="415" t="str">
        <f>IF('[1]p29'!$H$302&lt;&gt;0,'[1]p29'!$H$302,"")</f>
        <v>Port. 05/2007/UAME</v>
      </c>
      <c r="N63" s="415"/>
      <c r="O63" s="415"/>
      <c r="P63" s="415"/>
      <c r="Q63" s="415"/>
      <c r="R63" s="118">
        <f>IF('[1]p29'!$J$302&lt;&gt;0,'[1]p29'!$J$302,"")</f>
        <v>39149</v>
      </c>
      <c r="S63" s="118">
        <f>IF('[1]p29'!$K$302&lt;&gt;0,'[1]p29'!$K$302,"")</f>
        <v>40245</v>
      </c>
    </row>
    <row r="64" spans="1:19" s="3" customFormat="1" ht="13.5" customHeight="1">
      <c r="A64" s="413" t="str">
        <f>IF('[1]p29'!$A$306&lt;&gt;0,'[1]p29'!$A$306,"")</f>
        <v>Comissao de Avaliação de Estágio Probatório (Prof. Michelli)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 t="str">
        <f>IF('[1]p29'!$H$306&lt;&gt;0,'[1]p29'!$H$306,"")</f>
        <v>Port. 04/2007/UAME</v>
      </c>
      <c r="N64" s="413"/>
      <c r="O64" s="413"/>
      <c r="P64" s="413"/>
      <c r="Q64" s="413"/>
      <c r="R64" s="35">
        <f>IF('[1]p29'!$J$306&lt;&gt;0,'[1]p29'!$J$306,"")</f>
        <v>39149</v>
      </c>
      <c r="S64" s="35">
        <f>IF('[1]p29'!$K$306&lt;&gt;0,'[1]p29'!$K$306,"")</f>
        <v>40245</v>
      </c>
    </row>
    <row r="65" spans="1:19" s="45" customFormat="1" ht="11.25">
      <c r="A65" s="403" t="str">
        <f>T('[1]p30'!$C$13:$G$13)</f>
        <v>Patrícia Batista Leal</v>
      </c>
      <c r="B65" s="404"/>
      <c r="C65" s="404"/>
      <c r="D65" s="414"/>
      <c r="E65" s="387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</row>
    <row r="66" spans="1:19" s="3" customFormat="1" ht="13.5" customHeight="1">
      <c r="A66" s="413" t="str">
        <f>IF('[1]p30'!$A$302&lt;&gt;0,'[1]p30'!$A$302,"")</f>
        <v>Assessoria de Ensino</v>
      </c>
      <c r="B66" s="413"/>
      <c r="C66" s="413"/>
      <c r="D66" s="413"/>
      <c r="E66" s="415"/>
      <c r="F66" s="415"/>
      <c r="G66" s="415"/>
      <c r="H66" s="415"/>
      <c r="I66" s="415"/>
      <c r="J66" s="415"/>
      <c r="K66" s="415"/>
      <c r="L66" s="415"/>
      <c r="M66" s="415" t="str">
        <f>IF('[1]p30'!$H$302&lt;&gt;0,'[1]p30'!$H$302,"")</f>
        <v>Port.UAME/06/2008</v>
      </c>
      <c r="N66" s="415"/>
      <c r="O66" s="415"/>
      <c r="P66" s="415"/>
      <c r="Q66" s="415"/>
      <c r="R66" s="118">
        <f>IF('[1]p30'!$J$302&lt;&gt;0,'[1]p30'!$J$302,"")</f>
        <v>39583</v>
      </c>
      <c r="S66" s="118">
        <f>IF('[1]p30'!$K$302&lt;&gt;0,'[1]p30'!$K$302,"")</f>
      </c>
    </row>
    <row r="67" spans="1:19" s="45" customFormat="1" ht="11.25">
      <c r="A67" s="403" t="str">
        <f>T('[1]p31'!$C$13:$G$13)</f>
        <v>Rosana Marques da Silva</v>
      </c>
      <c r="B67" s="404"/>
      <c r="C67" s="404"/>
      <c r="D67" s="414"/>
      <c r="E67" s="387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</row>
    <row r="68" spans="1:19" s="3" customFormat="1" ht="13.5" customHeight="1">
      <c r="A68" s="413" t="str">
        <f>IF('[1]p31'!$A$302&lt;&gt;0,'[1]p31'!$A$302,"")</f>
        <v>Comissão de Avaliação de Estágio Probatório (Profa. Michelli)</v>
      </c>
      <c r="B68" s="413"/>
      <c r="C68" s="413"/>
      <c r="D68" s="413"/>
      <c r="E68" s="415"/>
      <c r="F68" s="415"/>
      <c r="G68" s="415"/>
      <c r="H68" s="415"/>
      <c r="I68" s="415"/>
      <c r="J68" s="415"/>
      <c r="K68" s="415"/>
      <c r="L68" s="415"/>
      <c r="M68" s="415" t="str">
        <f>IF('[1]p31'!$H$302&lt;&gt;0,'[1]p31'!$H$302,"")</f>
        <v>Port./04/07UAME</v>
      </c>
      <c r="N68" s="415"/>
      <c r="O68" s="415"/>
      <c r="P68" s="415"/>
      <c r="Q68" s="415"/>
      <c r="R68" s="118">
        <f>IF('[1]p31'!$J$302&lt;&gt;0,'[1]p31'!$J$302,"")</f>
        <v>39149</v>
      </c>
      <c r="S68" s="118">
        <f>IF('[1]p31'!$K$302&lt;&gt;0,'[1]p31'!$K$302,"")</f>
        <v>40245</v>
      </c>
    </row>
    <row r="69" spans="1:19" s="3" customFormat="1" ht="13.5" customHeight="1">
      <c r="A69" s="413" t="str">
        <f>IF('[1]p31'!$A$306&lt;&gt;0,'[1]p31'!$A$306,"")</f>
        <v>Comissão de Avaliação de Estágio Probatório (Prof. Marcelo)</v>
      </c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 t="str">
        <f>IF('[1]p31'!$H$306&lt;&gt;0,'[1]p31'!$H$306,"")</f>
        <v>Port./05/07/UAME</v>
      </c>
      <c r="N69" s="413"/>
      <c r="O69" s="413"/>
      <c r="P69" s="413"/>
      <c r="Q69" s="413"/>
      <c r="R69" s="35">
        <f>IF('[1]p31'!$J$306&lt;&gt;0,'[1]p31'!$J$306,"")</f>
        <v>39149</v>
      </c>
      <c r="S69" s="35">
        <f>IF('[1]p31'!$K$306&lt;&gt;0,'[1]p31'!$K$306,"")</f>
        <v>40245</v>
      </c>
    </row>
    <row r="70" spans="1:19" s="45" customFormat="1" ht="11.25">
      <c r="A70" s="403" t="str">
        <f>T('[1]p32'!$C$13:$G$13)</f>
        <v>Rosângela Silveira do Nascimento</v>
      </c>
      <c r="B70" s="404"/>
      <c r="C70" s="404"/>
      <c r="D70" s="414"/>
      <c r="E70" s="387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</row>
    <row r="71" spans="1:19" s="3" customFormat="1" ht="13.5" customHeight="1">
      <c r="A71" s="413" t="str">
        <f>IF('[1]p32'!$A$302&lt;&gt;0,'[1]p32'!$A$302,"")</f>
        <v>Reunião da UAME</v>
      </c>
      <c r="B71" s="413"/>
      <c r="C71" s="413"/>
      <c r="D71" s="413"/>
      <c r="E71" s="415"/>
      <c r="F71" s="415"/>
      <c r="G71" s="415"/>
      <c r="H71" s="415"/>
      <c r="I71" s="415"/>
      <c r="J71" s="415"/>
      <c r="K71" s="415"/>
      <c r="L71" s="415"/>
      <c r="M71" s="415">
        <f>IF('[1]p32'!$H$302&lt;&gt;0,'[1]p32'!$H$302,"")</f>
      </c>
      <c r="N71" s="415"/>
      <c r="O71" s="415"/>
      <c r="P71" s="415"/>
      <c r="Q71" s="415"/>
      <c r="R71" s="118">
        <f>IF('[1]p32'!$J$302&lt;&gt;0,'[1]p32'!$J$302,"")</f>
      </c>
      <c r="S71" s="118">
        <f>IF('[1]p32'!$K$302&lt;&gt;0,'[1]p32'!$K$302,"")</f>
      </c>
    </row>
    <row r="72" spans="1:19" s="3" customFormat="1" ht="13.5" customHeight="1">
      <c r="A72" s="413" t="str">
        <f>IF('[1]p32'!$A$306&lt;&gt;0,'[1]p32'!$A$306,"")</f>
        <v>reunião da área de estatística</v>
      </c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>
        <f>IF('[1]p32'!$H$306&lt;&gt;0,'[1]p32'!$H$306,"")</f>
      </c>
      <c r="N72" s="413"/>
      <c r="O72" s="413"/>
      <c r="P72" s="413"/>
      <c r="Q72" s="413"/>
      <c r="R72" s="35">
        <f>IF('[1]p32'!$J$306&lt;&gt;0,'[1]p32'!$J$306,"")</f>
      </c>
      <c r="S72" s="35">
        <f>IF('[1]p32'!$K$306&lt;&gt;0,'[1]p32'!$K$306,"")</f>
      </c>
    </row>
    <row r="73" spans="1:19" s="45" customFormat="1" ht="11.25">
      <c r="A73" s="403" t="str">
        <f>T('[1]p34'!$C$13:$G$13)</f>
        <v>Vandik Estevam Barbosa</v>
      </c>
      <c r="B73" s="404"/>
      <c r="C73" s="404"/>
      <c r="D73" s="414"/>
      <c r="E73" s="387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</row>
    <row r="74" spans="1:19" s="3" customFormat="1" ht="13.5" customHeight="1">
      <c r="A74" s="413" t="str">
        <f>IF('[1]p34'!$A$302&lt;&gt;0,'[1]p34'!$A$302,"")</f>
        <v>Coordenação da equipe de disciplina de Cálculo Diferencial e Integral II</v>
      </c>
      <c r="B74" s="413"/>
      <c r="C74" s="413"/>
      <c r="D74" s="413"/>
      <c r="E74" s="415"/>
      <c r="F74" s="415"/>
      <c r="G74" s="415"/>
      <c r="H74" s="415"/>
      <c r="I74" s="415"/>
      <c r="J74" s="415"/>
      <c r="K74" s="415"/>
      <c r="L74" s="415"/>
      <c r="M74" s="415">
        <f>IF('[1]p34'!$H$302&lt;&gt;0,'[1]p34'!$H$302,"")</f>
      </c>
      <c r="N74" s="415"/>
      <c r="O74" s="415"/>
      <c r="P74" s="415"/>
      <c r="Q74" s="415"/>
      <c r="R74" s="118">
        <f>IF('[1]p34'!$J$302&lt;&gt;0,'[1]p34'!$J$302,"")</f>
      </c>
      <c r="S74" s="118">
        <f>IF('[1]p34'!$K$302&lt;&gt;0,'[1]p34'!$K$302,"")</f>
      </c>
    </row>
    <row r="75" spans="1:19" s="45" customFormat="1" ht="11.25">
      <c r="A75" s="403" t="str">
        <f>T('[1]p35'!$C$13:$G$13)</f>
        <v>Vanio Fragoso de Melo</v>
      </c>
      <c r="B75" s="404"/>
      <c r="C75" s="404"/>
      <c r="D75" s="414"/>
      <c r="E75" s="387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</row>
    <row r="76" spans="1:19" s="3" customFormat="1" ht="13.5" customHeight="1">
      <c r="A76" s="413" t="str">
        <f>IF('[1]p35'!$A$302&lt;&gt;0,'[1]p35'!$A$302,"")</f>
        <v>Comissão de Avaliação de Estágio Probatório do Prof. Jesualdo</v>
      </c>
      <c r="B76" s="413"/>
      <c r="C76" s="413"/>
      <c r="D76" s="413"/>
      <c r="E76" s="415"/>
      <c r="F76" s="415"/>
      <c r="G76" s="415"/>
      <c r="H76" s="415"/>
      <c r="I76" s="415"/>
      <c r="J76" s="415"/>
      <c r="K76" s="415"/>
      <c r="L76" s="415"/>
      <c r="M76" s="415" t="str">
        <f>IF('[1]p35'!$H$302&lt;&gt;0,'[1]p35'!$H$302,"")</f>
        <v>Port./UAME/008/2006</v>
      </c>
      <c r="N76" s="415"/>
      <c r="O76" s="415"/>
      <c r="P76" s="415"/>
      <c r="Q76" s="415"/>
      <c r="R76" s="118">
        <f>IF('[1]p35'!$J$302&lt;&gt;0,'[1]p35'!$J$302,"")</f>
        <v>38947</v>
      </c>
      <c r="S76" s="118">
        <f>IF('[1]p35'!$K$302&lt;&gt;0,'[1]p35'!$K$302,"")</f>
        <v>40042</v>
      </c>
    </row>
    <row r="77" spans="1:19" s="3" customFormat="1" ht="13.5" customHeight="1">
      <c r="A77" s="413" t="str">
        <f>IF('[1]p35'!$A$306&lt;&gt;0,'[1]p35'!$A$306,"")</f>
        <v>Comissão de Avaliação de Estágio Probatório do Profa. Bianca Caretta</v>
      </c>
      <c r="B77" s="413"/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 t="str">
        <f>IF('[1]p35'!$H$306&lt;&gt;0,'[1]p35'!$H$306,"")</f>
        <v>Port./UAME/007/06</v>
      </c>
      <c r="N77" s="413"/>
      <c r="O77" s="413"/>
      <c r="P77" s="413"/>
      <c r="Q77" s="413"/>
      <c r="R77" s="35">
        <f>IF('[1]p35'!$J$306&lt;&gt;0,'[1]p35'!$J$306,"")</f>
        <v>38947</v>
      </c>
      <c r="S77" s="35">
        <f>IF('[1]p35'!$K$306&lt;&gt;0,'[1]p35'!$K$306,"")</f>
        <v>40042</v>
      </c>
    </row>
    <row r="78" spans="1:19" s="3" customFormat="1" ht="13.5" customHeight="1">
      <c r="A78" s="413" t="str">
        <f>IF('[1]p35'!$A$310&lt;&gt;0,'[1]p35'!$A$310,"")</f>
        <v>Comissão de Elaboração do Regimento Interno da UAME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3" t="str">
        <f>IF('[1]p35'!$H$310&lt;&gt;0,'[1]p35'!$H$310,"")</f>
        <v>Port./UAME/</v>
      </c>
      <c r="N78" s="413"/>
      <c r="O78" s="413"/>
      <c r="P78" s="413"/>
      <c r="Q78" s="413"/>
      <c r="R78" s="35">
        <f>IF('[1]p35'!$J$310&lt;&gt;0,'[1]p35'!$J$310,"")</f>
        <v>39489</v>
      </c>
      <c r="S78" s="35">
        <f>IF('[1]p35'!$K$310&lt;&gt;0,'[1]p35'!$K$310,"")</f>
        <v>39732</v>
      </c>
    </row>
  </sheetData>
  <sheetProtection password="CEFE" sheet="1" objects="1" scenarios="1"/>
  <mergeCells count="149">
    <mergeCell ref="A4:S5"/>
    <mergeCell ref="M9:Q9"/>
    <mergeCell ref="A9:L9"/>
    <mergeCell ref="A10:L10"/>
    <mergeCell ref="M10:Q10"/>
    <mergeCell ref="A1:S1"/>
    <mergeCell ref="A2:S2"/>
    <mergeCell ref="A3:D3"/>
    <mergeCell ref="E3:Q3"/>
    <mergeCell ref="A12:L12"/>
    <mergeCell ref="M12:Q12"/>
    <mergeCell ref="M11:Q11"/>
    <mergeCell ref="A6:L6"/>
    <mergeCell ref="M6:Q6"/>
    <mergeCell ref="A8:D8"/>
    <mergeCell ref="E8:S8"/>
    <mergeCell ref="A11:L11"/>
    <mergeCell ref="A7:S7"/>
    <mergeCell ref="A15:L15"/>
    <mergeCell ref="M15:Q15"/>
    <mergeCell ref="A16:D16"/>
    <mergeCell ref="E16:S16"/>
    <mergeCell ref="A13:D13"/>
    <mergeCell ref="E13:S13"/>
    <mergeCell ref="A14:L14"/>
    <mergeCell ref="M14:Q14"/>
    <mergeCell ref="A17:L17"/>
    <mergeCell ref="M17:Q17"/>
    <mergeCell ref="A18:L18"/>
    <mergeCell ref="M18:Q18"/>
    <mergeCell ref="A19:L19"/>
    <mergeCell ref="M19:Q19"/>
    <mergeCell ref="A20:L20"/>
    <mergeCell ref="M20:Q20"/>
    <mergeCell ref="A21:L21"/>
    <mergeCell ref="M21:Q21"/>
    <mergeCell ref="A25:D25"/>
    <mergeCell ref="E25:S25"/>
    <mergeCell ref="A24:L24"/>
    <mergeCell ref="M24:Q24"/>
    <mergeCell ref="A23:L23"/>
    <mergeCell ref="M23:Q23"/>
    <mergeCell ref="A22:L22"/>
    <mergeCell ref="M22:Q22"/>
    <mergeCell ref="A26:L26"/>
    <mergeCell ref="M26:Q26"/>
    <mergeCell ref="A27:D27"/>
    <mergeCell ref="E27:S27"/>
    <mergeCell ref="A28:L28"/>
    <mergeCell ref="M28:Q28"/>
    <mergeCell ref="A29:L29"/>
    <mergeCell ref="M29:Q29"/>
    <mergeCell ref="A30:L30"/>
    <mergeCell ref="M30:Q30"/>
    <mergeCell ref="A31:D31"/>
    <mergeCell ref="E31:S31"/>
    <mergeCell ref="A32:L32"/>
    <mergeCell ref="M32:Q32"/>
    <mergeCell ref="A33:L33"/>
    <mergeCell ref="M33:Q33"/>
    <mergeCell ref="A34:L34"/>
    <mergeCell ref="M34:Q34"/>
    <mergeCell ref="A36:D36"/>
    <mergeCell ref="E36:S36"/>
    <mergeCell ref="A35:S35"/>
    <mergeCell ref="A37:L37"/>
    <mergeCell ref="M37:Q37"/>
    <mergeCell ref="A38:D38"/>
    <mergeCell ref="E38:S38"/>
    <mergeCell ref="A39:L39"/>
    <mergeCell ref="M39:Q39"/>
    <mergeCell ref="A40:L40"/>
    <mergeCell ref="M40:Q40"/>
    <mergeCell ref="A41:L41"/>
    <mergeCell ref="M41:Q41"/>
    <mergeCell ref="A42:D42"/>
    <mergeCell ref="E42:S42"/>
    <mergeCell ref="A43:L43"/>
    <mergeCell ref="M43:Q43"/>
    <mergeCell ref="A44:L44"/>
    <mergeCell ref="M44:Q44"/>
    <mergeCell ref="A45:D45"/>
    <mergeCell ref="E45:S45"/>
    <mergeCell ref="A46:L46"/>
    <mergeCell ref="M46:Q46"/>
    <mergeCell ref="A47:L47"/>
    <mergeCell ref="M47:Q47"/>
    <mergeCell ref="A48:D48"/>
    <mergeCell ref="E48:S48"/>
    <mergeCell ref="A49:L49"/>
    <mergeCell ref="M49:Q49"/>
    <mergeCell ref="A50:D50"/>
    <mergeCell ref="E50:S50"/>
    <mergeCell ref="A51:L51"/>
    <mergeCell ref="M51:Q51"/>
    <mergeCell ref="A52:L52"/>
    <mergeCell ref="M52:Q52"/>
    <mergeCell ref="A53:D53"/>
    <mergeCell ref="E53:S53"/>
    <mergeCell ref="A54:L54"/>
    <mergeCell ref="M54:Q54"/>
    <mergeCell ref="A55:L55"/>
    <mergeCell ref="M55:Q55"/>
    <mergeCell ref="A56:L56"/>
    <mergeCell ref="M56:Q56"/>
    <mergeCell ref="A57:D57"/>
    <mergeCell ref="E57:S57"/>
    <mergeCell ref="A58:L58"/>
    <mergeCell ref="M58:Q58"/>
    <mergeCell ref="A59:L59"/>
    <mergeCell ref="M59:Q59"/>
    <mergeCell ref="A60:L60"/>
    <mergeCell ref="M60:Q60"/>
    <mergeCell ref="A61:L61"/>
    <mergeCell ref="M61:Q61"/>
    <mergeCell ref="A62:D62"/>
    <mergeCell ref="E62:S62"/>
    <mergeCell ref="A63:L63"/>
    <mergeCell ref="M63:Q63"/>
    <mergeCell ref="A64:L64"/>
    <mergeCell ref="M64:Q64"/>
    <mergeCell ref="A65:D65"/>
    <mergeCell ref="E65:S65"/>
    <mergeCell ref="A66:L66"/>
    <mergeCell ref="M66:Q66"/>
    <mergeCell ref="A67:D67"/>
    <mergeCell ref="E67:S67"/>
    <mergeCell ref="A68:L68"/>
    <mergeCell ref="M68:Q68"/>
    <mergeCell ref="A69:L69"/>
    <mergeCell ref="M69:Q69"/>
    <mergeCell ref="A70:D70"/>
    <mergeCell ref="E70:S70"/>
    <mergeCell ref="A71:L71"/>
    <mergeCell ref="M71:Q71"/>
    <mergeCell ref="A72:L72"/>
    <mergeCell ref="M72:Q72"/>
    <mergeCell ref="A73:D73"/>
    <mergeCell ref="E73:S73"/>
    <mergeCell ref="A74:L74"/>
    <mergeCell ref="M74:Q74"/>
    <mergeCell ref="A75:D75"/>
    <mergeCell ref="E75:S75"/>
    <mergeCell ref="A76:L76"/>
    <mergeCell ref="M76:Q76"/>
    <mergeCell ref="A77:L77"/>
    <mergeCell ref="M77:Q77"/>
    <mergeCell ref="A78:L78"/>
    <mergeCell ref="M78:Q7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5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cido</cp:lastModifiedBy>
  <cp:lastPrinted>2008-11-19T14:27:52Z</cp:lastPrinted>
  <dcterms:created xsi:type="dcterms:W3CDTF">2000-03-16T19:09:54Z</dcterms:created>
  <dcterms:modified xsi:type="dcterms:W3CDTF">2008-12-03T13:12:48Z</dcterms:modified>
  <cp:category/>
  <cp:version/>
  <cp:contentType/>
  <cp:contentStatus/>
</cp:coreProperties>
</file>